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49C37A47-96E7-45FC-BB5E-B017375FFEE0}" xr6:coauthVersionLast="47" xr6:coauthVersionMax="47" xr10:uidLastSave="{00000000-0000-0000-0000-000000000000}"/>
  <bookViews>
    <workbookView xWindow="-108" yWindow="-108" windowWidth="23256" windowHeight="12456" tabRatio="901" firstSheet="3" activeTab="5"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K23" i="148"/>
  <c r="K25" i="148"/>
  <c r="K27" i="148"/>
  <c r="K29" i="148"/>
  <c r="K31" i="148"/>
  <c r="K33" i="148"/>
  <c r="K35" i="148"/>
  <c r="K37" i="148"/>
  <c r="K17" i="148"/>
  <c r="K19" i="148"/>
  <c r="K21" i="148"/>
  <c r="K15" i="148"/>
  <c r="R48" i="148"/>
  <c r="P50" i="148"/>
  <c r="P49" i="148"/>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S39" i="143" l="1"/>
  <c r="K16" i="143"/>
  <c r="K14" i="143"/>
  <c r="K12" i="143"/>
  <c r="K10" i="143"/>
  <c r="AF11" i="159"/>
  <c r="AB9" i="159"/>
  <c r="O35" i="160"/>
  <c r="O34" i="160"/>
  <c r="Q44" i="154" l="1"/>
  <c r="Q46" i="154" s="1"/>
  <c r="K40" i="154" l="1"/>
  <c r="K39" i="154"/>
  <c r="K38" i="154"/>
  <c r="S32" i="154"/>
  <c r="S34" i="154" s="1"/>
  <c r="I32"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Q36" i="148"/>
  <c r="R36" i="148" s="1"/>
  <c r="Q34" i="148"/>
  <c r="R34" i="148" s="1"/>
  <c r="Q32" i="148"/>
  <c r="R32" i="148" s="1"/>
  <c r="Q30" i="148"/>
  <c r="R30" i="148" s="1"/>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<sst xmlns="http://schemas.openxmlformats.org/spreadsheetml/2006/main" count="2456" uniqueCount="703">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</sst>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0" fontId="10" fillId="8" borderId="0" xfId="0" applyFont="1" applyFill="1" applyAlignment="1">
      <alignment vertical="top" wrapText="1"/>
    </xf>
    <xf numFmtId="0" fontId="9"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8" fillId="9" borderId="4" xfId="0" applyFont="1" applyFill="1" applyBorder="1" applyAlignment="1">
      <alignment horizontal="center" vertical="center" wrapText="1"/>
    </xf>
    <xf numFmtId="0" fontId="0" fillId="0" borderId="4" xfId="0" applyBorder="1"/>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32</xdr:row>
      <xdr:rowOff>142068</xdr:rowOff>
    </xdr:from>
    <xdr:to>
      <xdr:col>26</xdr:col>
      <xdr:colOff>0</xdr:colOff>
      <xdr:row>75</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35</xdr:row>
      <xdr:rowOff>152400</xdr:rowOff>
    </xdr:from>
    <xdr:to>
      <xdr:col>36</xdr:col>
      <xdr:colOff>594080</xdr:colOff>
      <xdr:row>78</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100641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555267</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zoomScale="60" workbookViewId="0">
      <selection activeCell="M14" sqref="M14"/>
    </sheetView>
  </sheetViews>
  <sheetFormatPr defaultRowHeight="13.2" x14ac:dyDescent="0.25"/>
  <cols>
    <col min="5" max="5" width="21" bestFit="1" customWidth="1"/>
    <col min="6" max="6" width="13.44140625"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701</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647</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508</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510</v>
      </c>
      <c r="AB16" t="s">
        <v>511</v>
      </c>
      <c r="AC16" s="92" t="s">
        <v>513</v>
      </c>
      <c r="AD16" s="92" t="s">
        <v>519</v>
      </c>
      <c r="AE16" s="93" t="s">
        <v>224</v>
      </c>
      <c r="AF16" t="s">
        <v>508</v>
      </c>
      <c r="AG16" s="92" t="s">
        <v>244</v>
      </c>
    </row>
    <row r="17" spans="6:33" x14ac:dyDescent="0.25">
      <c r="F17" s="93" t="s">
        <v>160</v>
      </c>
      <c r="I17" s="93" t="s">
        <v>521</v>
      </c>
      <c r="J17" s="93">
        <v>2030</v>
      </c>
      <c r="M17">
        <f>'403.b Solid Direct air capture'!D10*1000*0.0000036</f>
        <v>5.3999999999999994E-3</v>
      </c>
      <c r="N17">
        <f>'403.b Solid Direct air capture'!D18*1000*0.0000036</f>
        <v>3.5999999999999999E-3</v>
      </c>
      <c r="P17" s="95"/>
      <c r="U17" s="26"/>
      <c r="Z17" s="352"/>
      <c r="AA17" s="352"/>
      <c r="AB17" s="352"/>
      <c r="AC17" s="352"/>
      <c r="AD17" s="352"/>
      <c r="AE17" s="352"/>
      <c r="AF17" s="352"/>
      <c r="AG17" s="352"/>
    </row>
    <row r="18" spans="6:33" x14ac:dyDescent="0.25">
      <c r="F18" t="s">
        <v>647</v>
      </c>
      <c r="I18" s="93"/>
      <c r="J18" s="93">
        <v>2030</v>
      </c>
      <c r="M18">
        <v>1500</v>
      </c>
      <c r="P18" s="95"/>
      <c r="U18" s="26"/>
      <c r="Z18" s="352"/>
      <c r="AA18" s="352"/>
      <c r="AB18" s="352"/>
      <c r="AC18" s="352"/>
      <c r="AD18" s="352"/>
      <c r="AE18" s="352"/>
      <c r="AF18" s="352"/>
      <c r="AG18" s="352"/>
    </row>
    <row r="19" spans="6:33" x14ac:dyDescent="0.25">
      <c r="G19" t="s">
        <v>41</v>
      </c>
      <c r="H19" t="s">
        <v>508</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160</v>
      </c>
      <c r="I20" s="93" t="s">
        <v>521</v>
      </c>
      <c r="J20" s="93">
        <v>2040</v>
      </c>
      <c r="M20">
        <f>'403.b Solid Direct air capture'!E10*1000*0.0000036</f>
        <v>4.6296000000000002E-3</v>
      </c>
      <c r="N20">
        <f>'403.b Solid Direct air capture'!E18*1000*0.0000036</f>
        <v>2.6999999999999997E-3</v>
      </c>
      <c r="P20" s="95"/>
      <c r="U20" s="26"/>
    </row>
    <row r="21" spans="6:33" x14ac:dyDescent="0.25">
      <c r="F21" t="s">
        <v>647</v>
      </c>
      <c r="I21" s="93"/>
      <c r="J21" s="93">
        <v>2040</v>
      </c>
      <c r="M21">
        <v>1500</v>
      </c>
      <c r="P21" s="95"/>
      <c r="U21" s="26"/>
    </row>
    <row r="22" spans="6:33" x14ac:dyDescent="0.25">
      <c r="G22" t="s">
        <v>41</v>
      </c>
      <c r="H22" t="s">
        <v>508</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160</v>
      </c>
      <c r="I23" s="93" t="s">
        <v>521</v>
      </c>
      <c r="J23" s="93">
        <v>2050</v>
      </c>
      <c r="M23">
        <f>'403.b Solid Direct air capture'!F10*1000*0.0000036</f>
        <v>3.9671999999999997E-3</v>
      </c>
      <c r="N23">
        <f>'403.b Solid Direct air capture'!F18*1000*0.0000036</f>
        <v>2.6999999999999997E-3</v>
      </c>
    </row>
    <row r="24" spans="6:33" x14ac:dyDescent="0.25">
      <c r="F24" t="s">
        <v>647</v>
      </c>
      <c r="J24" s="93">
        <v>2050</v>
      </c>
      <c r="M24">
        <v>1500</v>
      </c>
    </row>
    <row r="32" spans="6:33" x14ac:dyDescent="0.25">
      <c r="U32">
        <v>1.5</v>
      </c>
      <c r="V32" t="s">
        <v>685</v>
      </c>
    </row>
    <row r="35" spans="21:22" x14ac:dyDescent="0.25">
      <c r="U35">
        <f>U32*1000000/1000</f>
        <v>1500</v>
      </c>
      <c r="V35" t="s">
        <v>686</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R11" sqref="R11"/>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647</v>
      </c>
      <c r="I14" s="93">
        <v>2025</v>
      </c>
      <c r="L14">
        <f>R53</f>
        <v>3216.0814363276982</v>
      </c>
      <c r="Y14" t="s">
        <v>702</v>
      </c>
      <c r="Z14" t="s">
        <v>502</v>
      </c>
      <c r="AA14" t="s">
        <v>503</v>
      </c>
      <c r="AB14" s="92" t="s">
        <v>45</v>
      </c>
      <c r="AC14" s="92" t="s">
        <v>62</v>
      </c>
      <c r="AD14" s="93" t="s">
        <v>224</v>
      </c>
      <c r="AE14" s="93" t="s">
        <v>500</v>
      </c>
      <c r="AF14" s="92" t="s">
        <v>244</v>
      </c>
    </row>
    <row r="15" spans="3:32" x14ac:dyDescent="0.25">
      <c r="H15" s="93" t="s">
        <v>160</v>
      </c>
      <c r="I15" s="93">
        <v>2025</v>
      </c>
      <c r="M15">
        <f>SUM('98 Methanol from Hydrogen'!D17:D18)/'98 Methanol from Hydrogen'!D16</f>
        <v>0.28205128205128205</v>
      </c>
      <c r="O15" s="95"/>
      <c r="T15" s="26"/>
      <c r="Y15" s="352"/>
      <c r="Z15" s="352"/>
      <c r="AA15" s="352"/>
      <c r="AB15" s="352"/>
      <c r="AC15" s="352"/>
      <c r="AD15" s="352"/>
      <c r="AE15" s="352"/>
      <c r="AF15" s="352"/>
    </row>
    <row r="16" spans="3:32" x14ac:dyDescent="0.25">
      <c r="F16" t="s">
        <v>508</v>
      </c>
      <c r="G16" t="s">
        <v>500</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180</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647</v>
      </c>
      <c r="I19" s="93">
        <v>2030</v>
      </c>
      <c r="L19">
        <f>R53</f>
        <v>3216.0814363276982</v>
      </c>
    </row>
    <row r="20" spans="6:20" x14ac:dyDescent="0.25">
      <c r="H20" s="93" t="s">
        <v>160</v>
      </c>
      <c r="I20" s="93">
        <v>2030</v>
      </c>
      <c r="M20">
        <f>SUM('98 Methanol from Hydrogen'!E17:E18)/'98 Methanol from Hydrogen'!E16</f>
        <v>0.28205128205128205</v>
      </c>
    </row>
    <row r="21" spans="6:20" x14ac:dyDescent="0.25">
      <c r="F21" t="s">
        <v>508</v>
      </c>
      <c r="G21" t="s">
        <v>500</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180</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647</v>
      </c>
      <c r="I24" s="93">
        <v>2040</v>
      </c>
      <c r="L24">
        <f>R53</f>
        <v>3216.0814363276982</v>
      </c>
    </row>
    <row r="25" spans="6:20" x14ac:dyDescent="0.25">
      <c r="H25" s="93" t="s">
        <v>160</v>
      </c>
      <c r="I25" s="93">
        <v>2040</v>
      </c>
      <c r="M25">
        <f>SUM('98 Methanol from Hydrogen'!F17:F18)/'98 Methanol from Hydrogen'!F16</f>
        <v>0.28205128205128205</v>
      </c>
    </row>
    <row r="26" spans="6:20" x14ac:dyDescent="0.25">
      <c r="F26" t="s">
        <v>508</v>
      </c>
      <c r="G26" t="s">
        <v>500</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180</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647</v>
      </c>
      <c r="I29" s="93">
        <v>2050</v>
      </c>
      <c r="L29">
        <f>R53</f>
        <v>3216.0814363276982</v>
      </c>
    </row>
    <row r="30" spans="6:20" x14ac:dyDescent="0.25">
      <c r="H30" s="93" t="s">
        <v>160</v>
      </c>
      <c r="I30" s="93">
        <v>2050</v>
      </c>
      <c r="M30">
        <f>SUM('98 Methanol from Hydrogen'!G17:G18)/'98 Methanol from Hydrogen'!G16</f>
        <v>0.28205128205128205</v>
      </c>
    </row>
    <row r="37" spans="10:22" ht="13.8" thickBot="1" x14ac:dyDescent="0.3"/>
    <row r="38" spans="10:22" ht="18.600000000000001" thickBot="1" x14ac:dyDescent="0.3">
      <c r="J38" s="340" t="s">
        <v>299</v>
      </c>
      <c r="K38" s="341">
        <v>2020</v>
      </c>
      <c r="L38" s="341">
        <v>2025</v>
      </c>
      <c r="M38" s="341">
        <v>2030</v>
      </c>
      <c r="N38" s="341">
        <v>2040</v>
      </c>
      <c r="O38" s="341">
        <v>2050</v>
      </c>
    </row>
    <row r="39" spans="10:22" ht="18.600000000000001" thickBot="1" x14ac:dyDescent="0.3">
      <c r="J39" s="342" t="s">
        <v>300</v>
      </c>
      <c r="K39" s="343" t="s">
        <v>301</v>
      </c>
      <c r="L39" s="343" t="s">
        <v>301</v>
      </c>
      <c r="M39" s="343" t="s">
        <v>301</v>
      </c>
      <c r="N39" s="343" t="s">
        <v>301</v>
      </c>
      <c r="O39" s="343" t="s">
        <v>301</v>
      </c>
    </row>
    <row r="40" spans="10:22" ht="18.600000000000001" thickBot="1" x14ac:dyDescent="0.3">
      <c r="J40" s="344" t="s">
        <v>304</v>
      </c>
      <c r="K40" s="345"/>
      <c r="L40" s="345"/>
      <c r="M40" s="345"/>
      <c r="N40" s="345"/>
      <c r="O40" s="345"/>
    </row>
    <row r="41" spans="10:22" ht="18.600000000000001" thickBot="1" x14ac:dyDescent="0.3">
      <c r="J41" s="346" t="s">
        <v>77</v>
      </c>
      <c r="K41" s="345"/>
      <c r="L41" s="345"/>
      <c r="M41" s="345"/>
      <c r="N41" s="345"/>
      <c r="O41" s="345"/>
    </row>
    <row r="42" spans="10:22" ht="18.600000000000001" thickBot="1" x14ac:dyDescent="0.3">
      <c r="J42" s="347" t="s">
        <v>392</v>
      </c>
      <c r="K42" s="348">
        <v>300</v>
      </c>
      <c r="L42" s="348">
        <v>300</v>
      </c>
      <c r="M42" s="348">
        <v>600</v>
      </c>
      <c r="N42" s="348">
        <v>900</v>
      </c>
      <c r="O42" s="348">
        <v>1200</v>
      </c>
    </row>
    <row r="43" spans="10:22" ht="18.600000000000001" thickBot="1" x14ac:dyDescent="0.3">
      <c r="J43" s="347" t="s">
        <v>393</v>
      </c>
      <c r="K43" s="348">
        <v>69</v>
      </c>
      <c r="L43" s="348">
        <v>69</v>
      </c>
      <c r="M43" s="348">
        <v>138</v>
      </c>
      <c r="N43" s="348">
        <v>207</v>
      </c>
      <c r="O43" s="348">
        <v>276</v>
      </c>
    </row>
    <row r="45" spans="10:22" x14ac:dyDescent="0.25">
      <c r="U45">
        <v>300</v>
      </c>
      <c r="V45" s="111" t="s">
        <v>688</v>
      </c>
    </row>
    <row r="46" spans="10:22" x14ac:dyDescent="0.25">
      <c r="U46">
        <v>4000</v>
      </c>
      <c r="V46" s="111" t="s">
        <v>638</v>
      </c>
    </row>
    <row r="47" spans="10:22" x14ac:dyDescent="0.25">
      <c r="M47" s="111"/>
      <c r="P47" s="111"/>
      <c r="U47">
        <v>345486</v>
      </c>
      <c r="V47" s="111" t="s">
        <v>689</v>
      </c>
    </row>
    <row r="48" spans="10:22" x14ac:dyDescent="0.25">
      <c r="M48" s="111"/>
    </row>
    <row r="49" spans="10:22" x14ac:dyDescent="0.25">
      <c r="N49" s="111"/>
      <c r="U49">
        <f>U47*U52</f>
        <v>1.2437495999999999</v>
      </c>
      <c r="V49" s="111" t="s">
        <v>690</v>
      </c>
    </row>
    <row r="50" spans="10:22" x14ac:dyDescent="0.25">
      <c r="M50" s="111"/>
    </row>
    <row r="51" spans="10:22" x14ac:dyDescent="0.25">
      <c r="Q51" s="349"/>
      <c r="R51" s="349"/>
      <c r="S51" s="349"/>
      <c r="U51">
        <v>1</v>
      </c>
      <c r="V51" t="s">
        <v>516</v>
      </c>
    </row>
    <row r="52" spans="10:22" x14ac:dyDescent="0.25">
      <c r="M52" s="111"/>
      <c r="Q52" s="349"/>
      <c r="R52" s="349"/>
      <c r="S52" s="349"/>
      <c r="U52">
        <v>3.5999999999999998E-6</v>
      </c>
      <c r="V52" t="s">
        <v>517</v>
      </c>
    </row>
    <row r="53" spans="10:22" x14ac:dyDescent="0.25">
      <c r="Q53" s="349"/>
      <c r="R53" s="349">
        <f>U46/U49</f>
        <v>3216.0814363276982</v>
      </c>
      <c r="S53" s="350" t="s">
        <v>691</v>
      </c>
    </row>
    <row r="55" spans="10:22" x14ac:dyDescent="0.25">
      <c r="J55" s="351" t="s">
        <v>692</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C1" zoomScale="67" workbookViewId="0">
      <selection activeCell="U26" sqref="U26"/>
    </sheetView>
  </sheetViews>
  <sheetFormatPr defaultRowHeight="13.2" x14ac:dyDescent="0.25"/>
  <cols>
    <col min="6" max="6" width="8.88671875" customWidth="1"/>
    <col min="7" max="7" width="24.6640625" bestFit="1" customWidth="1"/>
    <col min="8" max="8" width="8.8867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160</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647</v>
      </c>
      <c r="L16" s="93">
        <v>2020</v>
      </c>
      <c r="O16">
        <f>Z43</f>
        <v>22133.852811331566</v>
      </c>
      <c r="R16" s="95"/>
      <c r="W16" s="26"/>
      <c r="AB16" t="s">
        <v>702</v>
      </c>
      <c r="AC16" s="246" t="s">
        <v>505</v>
      </c>
      <c r="AD16" s="247" t="s">
        <v>506</v>
      </c>
      <c r="AE16" s="92" t="s">
        <v>45</v>
      </c>
      <c r="AF16" s="92" t="s">
        <v>62</v>
      </c>
      <c r="AG16" s="93" t="s">
        <v>224</v>
      </c>
      <c r="AH16" t="s">
        <v>507</v>
      </c>
      <c r="AI16" s="92" t="s">
        <v>244</v>
      </c>
    </row>
    <row r="17" spans="8:23" x14ac:dyDescent="0.25">
      <c r="I17" t="s">
        <v>180</v>
      </c>
      <c r="J17" t="s">
        <v>507</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160</v>
      </c>
      <c r="L18" s="93">
        <v>2030</v>
      </c>
      <c r="O18">
        <f>'102 Hydrogen to Jet'!C11/'102 Hydrogen to Jet'!C13</f>
        <v>7.1428571428571435E-3</v>
      </c>
      <c r="P18">
        <f>'102 Hydrogen to Jet'!C14/'102 Hydrogen to Jet'!C13</f>
        <v>0.28571428571428575</v>
      </c>
      <c r="R18" s="95"/>
      <c r="W18" s="26"/>
    </row>
    <row r="19" spans="8:23" x14ac:dyDescent="0.25">
      <c r="H19" t="s">
        <v>508</v>
      </c>
      <c r="L19" s="93">
        <v>2030</v>
      </c>
      <c r="O19">
        <f>'102 Hydrogen to Jet'!C9/('102 Hydrogen to Jet'!P13*1000)</f>
        <v>90.655509065550916</v>
      </c>
      <c r="R19" s="95"/>
      <c r="W19" s="26"/>
    </row>
    <row r="20" spans="8:23" x14ac:dyDescent="0.25">
      <c r="H20" t="s">
        <v>647</v>
      </c>
      <c r="L20" s="93">
        <v>2030</v>
      </c>
      <c r="O20">
        <f>Z43</f>
        <v>22133.852811331566</v>
      </c>
      <c r="R20" s="95"/>
      <c r="W20" s="26"/>
    </row>
    <row r="21" spans="8:23" x14ac:dyDescent="0.25">
      <c r="I21" t="s">
        <v>180</v>
      </c>
      <c r="J21" t="s">
        <v>507</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160</v>
      </c>
      <c r="L22" s="93">
        <v>2040</v>
      </c>
      <c r="O22">
        <f>'102 Hydrogen to Jet'!D11/'102 Hydrogen to Jet'!D13</f>
        <v>6.8493150684931512E-3</v>
      </c>
      <c r="P22">
        <f>'102 Hydrogen to Jet'!D14/'102 Hydrogen to Jet'!D13</f>
        <v>0.23287671232876714</v>
      </c>
    </row>
    <row r="23" spans="8:23" x14ac:dyDescent="0.25">
      <c r="H23" t="s">
        <v>508</v>
      </c>
      <c r="L23" s="93">
        <v>2040</v>
      </c>
      <c r="O23">
        <f>'102 Hydrogen to Jet'!D9/('102 Hydrogen to Jet'!P13*1000)</f>
        <v>83.68200836820084</v>
      </c>
    </row>
    <row r="24" spans="8:23" x14ac:dyDescent="0.25">
      <c r="H24" t="s">
        <v>647</v>
      </c>
      <c r="L24" s="93">
        <v>2040</v>
      </c>
      <c r="O24">
        <f>Z43</f>
        <v>22133.852811331566</v>
      </c>
    </row>
    <row r="25" spans="8:23" x14ac:dyDescent="0.25">
      <c r="I25" t="s">
        <v>180</v>
      </c>
      <c r="J25" t="s">
        <v>507</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160</v>
      </c>
      <c r="L26" s="93">
        <v>2050</v>
      </c>
      <c r="O26">
        <f>'102 Hydrogen to Jet'!E11/'102 Hydrogen to Jet'!E13</f>
        <v>6.6666666666666671E-3</v>
      </c>
      <c r="P26">
        <f>'102 Hydrogen to Jet'!E14/'102 Hydrogen to Jet'!E13</f>
        <v>0.19999999999999998</v>
      </c>
    </row>
    <row r="27" spans="8:23" x14ac:dyDescent="0.25">
      <c r="H27" t="s">
        <v>508</v>
      </c>
      <c r="L27" s="93">
        <v>2050</v>
      </c>
      <c r="O27">
        <f>'102 Hydrogen to Jet'!E9/('102 Hydrogen to Jet'!P13*1000)</f>
        <v>76.708507670850764</v>
      </c>
    </row>
    <row r="28" spans="8:23" x14ac:dyDescent="0.25">
      <c r="H28" t="s">
        <v>647</v>
      </c>
      <c r="L28" s="93">
        <v>2050</v>
      </c>
      <c r="O28">
        <f>Z43</f>
        <v>22133.852811331566</v>
      </c>
    </row>
    <row r="29" spans="8:23" x14ac:dyDescent="0.25">
      <c r="L29" s="93"/>
    </row>
    <row r="35" spans="15:27" x14ac:dyDescent="0.25">
      <c r="U35" s="111" t="s">
        <v>696</v>
      </c>
      <c r="V35">
        <v>0.754</v>
      </c>
      <c r="W35" s="111" t="s">
        <v>697</v>
      </c>
      <c r="Z35">
        <v>20</v>
      </c>
      <c r="AA35" s="111" t="s">
        <v>698</v>
      </c>
    </row>
    <row r="36" spans="15:27" x14ac:dyDescent="0.25">
      <c r="V36">
        <v>754</v>
      </c>
      <c r="W36" s="111" t="s">
        <v>699</v>
      </c>
    </row>
    <row r="37" spans="15:27" x14ac:dyDescent="0.25">
      <c r="P37">
        <v>4800</v>
      </c>
      <c r="Q37" s="111" t="s">
        <v>694</v>
      </c>
    </row>
    <row r="39" spans="15:27" x14ac:dyDescent="0.25">
      <c r="O39">
        <v>1</v>
      </c>
      <c r="P39" s="111" t="s">
        <v>694</v>
      </c>
      <c r="W39">
        <v>1E-3</v>
      </c>
      <c r="X39" s="111" t="s">
        <v>693</v>
      </c>
    </row>
    <row r="40" spans="15:27" x14ac:dyDescent="0.25">
      <c r="O40">
        <v>0.159</v>
      </c>
      <c r="P40" s="111" t="s">
        <v>695</v>
      </c>
    </row>
    <row r="42" spans="15:27" x14ac:dyDescent="0.25">
      <c r="W42">
        <f>W39*10000*1000</f>
        <v>10000</v>
      </c>
    </row>
    <row r="43" spans="15:27" x14ac:dyDescent="0.25">
      <c r="P43">
        <f>P37*O40</f>
        <v>763.2</v>
      </c>
      <c r="Q43" s="111" t="s">
        <v>695</v>
      </c>
      <c r="Z43">
        <f>Z35*10000/V47</f>
        <v>22133.852811331566</v>
      </c>
      <c r="AA43" s="111" t="s">
        <v>691</v>
      </c>
    </row>
    <row r="44" spans="15:27" x14ac:dyDescent="0.25">
      <c r="S44">
        <f>P43*V36</f>
        <v>575452.80000000005</v>
      </c>
    </row>
    <row r="45" spans="15:27" x14ac:dyDescent="0.25">
      <c r="S45">
        <f>S44/1000</f>
        <v>575.45280000000002</v>
      </c>
      <c r="T45" s="111" t="s">
        <v>688</v>
      </c>
    </row>
    <row r="47" spans="15:27" x14ac:dyDescent="0.25">
      <c r="V47">
        <f>R50*S45*365</f>
        <v>9.0359325014399996</v>
      </c>
      <c r="W47" s="111" t="s">
        <v>700</v>
      </c>
    </row>
    <row r="50" spans="18:19" x14ac:dyDescent="0.25">
      <c r="R50">
        <v>4.3019999999999998E-5</v>
      </c>
      <c r="S50" t="s">
        <v>518</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A3" zoomScale="78" workbookViewId="0">
      <selection activeCell="S12" sqref="S12"/>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6"/>
  <sheetViews>
    <sheetView topLeftCell="C3" zoomScale="71" workbookViewId="0">
      <selection activeCell="E12" sqref="E12:I15"/>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ht="13.8" thickBot="1" x14ac:dyDescent="0.3">
      <c r="B4" s="337"/>
      <c r="C4" s="338"/>
      <c r="E4" s="32" t="s">
        <v>47</v>
      </c>
      <c r="F4" s="34"/>
      <c r="G4" s="34"/>
      <c r="H4" s="34"/>
      <c r="I4" s="34"/>
      <c r="J4" s="34"/>
      <c r="K4" s="34"/>
    </row>
    <row r="5" spans="2:25" x14ac:dyDescent="0.25">
      <c r="E5" s="33" t="s">
        <v>43</v>
      </c>
      <c r="F5" s="33" t="s">
        <v>225</v>
      </c>
      <c r="G5" t="s">
        <v>226</v>
      </c>
      <c r="H5" s="33" t="s">
        <v>45</v>
      </c>
      <c r="I5" s="33" t="s">
        <v>224</v>
      </c>
      <c r="J5" s="33"/>
      <c r="K5" s="33"/>
    </row>
    <row r="6" spans="2:25" x14ac:dyDescent="0.25">
      <c r="B6" s="111"/>
      <c r="E6" s="33" t="s">
        <v>43</v>
      </c>
      <c r="F6" t="s">
        <v>227</v>
      </c>
      <c r="G6" t="s">
        <v>229</v>
      </c>
      <c r="H6" s="33" t="s">
        <v>45</v>
      </c>
      <c r="I6" s="33" t="s">
        <v>224</v>
      </c>
      <c r="J6" s="33"/>
      <c r="K6" s="33"/>
    </row>
    <row r="7" spans="2:25" x14ac:dyDescent="0.25">
      <c r="B7" s="111"/>
      <c r="E7" s="33" t="s">
        <v>43</v>
      </c>
      <c r="F7" t="s">
        <v>228</v>
      </c>
      <c r="G7" t="s">
        <v>230</v>
      </c>
      <c r="H7" s="33" t="s">
        <v>45</v>
      </c>
      <c r="I7" s="33" t="s">
        <v>224</v>
      </c>
      <c r="J7" s="33"/>
      <c r="K7" s="33"/>
      <c r="R7" s="28" t="s">
        <v>14</v>
      </c>
      <c r="S7" s="110"/>
      <c r="T7" s="110"/>
      <c r="U7" s="110"/>
      <c r="V7" s="110"/>
      <c r="W7" s="110"/>
      <c r="X7" s="110"/>
      <c r="Y7" s="110"/>
    </row>
    <row r="8" spans="2: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2: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2:25" x14ac:dyDescent="0.25">
      <c r="E10" s="33" t="s">
        <v>249</v>
      </c>
      <c r="F10" t="s">
        <v>600</v>
      </c>
      <c r="G10" t="s">
        <v>602</v>
      </c>
      <c r="H10" s="33" t="s">
        <v>513</v>
      </c>
      <c r="I10" s="33"/>
      <c r="R10" s="110" t="s">
        <v>44</v>
      </c>
      <c r="S10" t="s">
        <v>593</v>
      </c>
      <c r="T10" t="s">
        <v>624</v>
      </c>
      <c r="U10" t="s">
        <v>45</v>
      </c>
      <c r="V10" s="110"/>
      <c r="W10" s="110" t="s">
        <v>224</v>
      </c>
    </row>
    <row r="11" spans="2:25" x14ac:dyDescent="0.25">
      <c r="E11" s="33" t="s">
        <v>249</v>
      </c>
      <c r="F11" t="s">
        <v>601</v>
      </c>
      <c r="G11" t="s">
        <v>603</v>
      </c>
      <c r="H11" s="33" t="s">
        <v>45</v>
      </c>
      <c r="I11" s="33"/>
      <c r="R11" s="110" t="s">
        <v>44</v>
      </c>
      <c r="S11" t="s">
        <v>594</v>
      </c>
      <c r="T11" t="s">
        <v>625</v>
      </c>
      <c r="U11" t="s">
        <v>45</v>
      </c>
      <c r="V11" s="110"/>
      <c r="W11" s="110" t="s">
        <v>224</v>
      </c>
    </row>
    <row r="12" spans="2:25" x14ac:dyDescent="0.25">
      <c r="E12" s="33" t="s">
        <v>249</v>
      </c>
      <c r="F12" s="111" t="s">
        <v>664</v>
      </c>
      <c r="G12" s="111" t="s">
        <v>668</v>
      </c>
      <c r="H12" t="s">
        <v>648</v>
      </c>
      <c r="R12" s="110" t="s">
        <v>44</v>
      </c>
      <c r="S12" t="s">
        <v>595</v>
      </c>
      <c r="T12" t="s">
        <v>626</v>
      </c>
      <c r="U12" t="s">
        <v>45</v>
      </c>
      <c r="V12" s="110"/>
      <c r="W12" s="110" t="s">
        <v>224</v>
      </c>
    </row>
    <row r="13" spans="2:25" x14ac:dyDescent="0.25">
      <c r="E13" s="33" t="s">
        <v>249</v>
      </c>
      <c r="F13" s="111" t="s">
        <v>665</v>
      </c>
      <c r="G13" s="111" t="s">
        <v>669</v>
      </c>
      <c r="H13" t="s">
        <v>649</v>
      </c>
      <c r="R13" s="110" t="s">
        <v>44</v>
      </c>
      <c r="S13" t="s">
        <v>609</v>
      </c>
      <c r="T13" t="s">
        <v>602</v>
      </c>
      <c r="U13" t="s">
        <v>513</v>
      </c>
      <c r="V13" s="110"/>
      <c r="W13" s="110" t="s">
        <v>224</v>
      </c>
    </row>
    <row r="14" spans="2:25" x14ac:dyDescent="0.25">
      <c r="E14" s="33" t="s">
        <v>249</v>
      </c>
      <c r="F14" s="111" t="s">
        <v>666</v>
      </c>
      <c r="G14" s="111" t="s">
        <v>670</v>
      </c>
      <c r="H14" t="s">
        <v>648</v>
      </c>
      <c r="R14" s="110" t="s">
        <v>44</v>
      </c>
      <c r="S14" t="s">
        <v>610</v>
      </c>
      <c r="T14" t="s">
        <v>627</v>
      </c>
      <c r="U14" t="s">
        <v>45</v>
      </c>
      <c r="V14" s="110"/>
      <c r="W14" s="110" t="s">
        <v>224</v>
      </c>
    </row>
    <row r="15" spans="2:25" x14ac:dyDescent="0.25">
      <c r="E15" s="33" t="s">
        <v>249</v>
      </c>
      <c r="F15" s="111" t="s">
        <v>667</v>
      </c>
      <c r="G15" s="111" t="s">
        <v>671</v>
      </c>
      <c r="H15" t="s">
        <v>648</v>
      </c>
      <c r="R15" s="110" t="s">
        <v>44</v>
      </c>
      <c r="S15" t="s">
        <v>607</v>
      </c>
      <c r="T15" t="s">
        <v>628</v>
      </c>
      <c r="U15" t="s">
        <v>45</v>
      </c>
      <c r="V15" s="110"/>
      <c r="W15" s="110" t="s">
        <v>224</v>
      </c>
    </row>
    <row r="16" spans="2: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K43">
        <v>0</v>
      </c>
      <c r="L43">
        <v>2030</v>
      </c>
    </row>
    <row r="44" spans="6:20" x14ac:dyDescent="0.25">
      <c r="F44" s="111" t="s">
        <v>665</v>
      </c>
      <c r="H44" t="s">
        <v>640</v>
      </c>
      <c r="K44">
        <v>0</v>
      </c>
      <c r="L44">
        <v>2030</v>
      </c>
      <c r="Q44">
        <f>Q42/0.000001</f>
        <v>90000000</v>
      </c>
      <c r="R44" s="111" t="s">
        <v>619</v>
      </c>
    </row>
    <row r="45" spans="6:20" x14ac:dyDescent="0.25">
      <c r="F45" s="111" t="s">
        <v>666</v>
      </c>
      <c r="H45" t="s">
        <v>641</v>
      </c>
      <c r="K45">
        <v>0</v>
      </c>
      <c r="L45">
        <v>2030</v>
      </c>
    </row>
    <row r="46" spans="6:20" x14ac:dyDescent="0.25">
      <c r="F46" s="111" t="s">
        <v>667</v>
      </c>
      <c r="H46" t="s">
        <v>642</v>
      </c>
      <c r="K46">
        <v>0</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I18" sqref="I18"/>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6" t="s">
        <v>72</v>
      </c>
      <c r="D3" s="357"/>
      <c r="E3" s="357"/>
      <c r="F3" s="357"/>
      <c r="G3" s="357"/>
      <c r="H3" s="357"/>
      <c r="I3" s="357"/>
      <c r="J3" s="357"/>
      <c r="K3" s="357"/>
      <c r="L3" s="357"/>
    </row>
    <row r="4" spans="1:13" ht="13.2" customHeight="1" x14ac:dyDescent="0.25">
      <c r="A4" s="37"/>
      <c r="B4" s="39"/>
      <c r="C4" s="40">
        <v>2020</v>
      </c>
      <c r="D4" s="40">
        <v>2030</v>
      </c>
      <c r="E4" s="40">
        <v>2040</v>
      </c>
      <c r="F4" s="40">
        <v>2050</v>
      </c>
      <c r="G4" s="358" t="s">
        <v>73</v>
      </c>
      <c r="H4" s="358"/>
      <c r="I4" s="358" t="s">
        <v>74</v>
      </c>
      <c r="J4" s="358"/>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3"/>
      <c r="B43" s="353"/>
      <c r="C43" s="353"/>
      <c r="D43" s="353"/>
      <c r="E43" s="353"/>
      <c r="F43" s="353"/>
      <c r="G43" s="353"/>
      <c r="H43" s="353"/>
      <c r="I43" s="353"/>
      <c r="J43" s="69"/>
      <c r="K43" s="70"/>
      <c r="L43" s="353"/>
      <c r="M43" s="353"/>
    </row>
    <row r="44" spans="1:14" x14ac:dyDescent="0.25">
      <c r="A44" s="70"/>
      <c r="C44" s="353"/>
      <c r="D44" s="355"/>
      <c r="E44" s="355"/>
      <c r="F44" s="355"/>
      <c r="G44" s="355"/>
      <c r="H44" s="355"/>
      <c r="I44" s="355"/>
      <c r="J44" s="355"/>
      <c r="K44" s="355"/>
      <c r="L44" s="353"/>
      <c r="M44" s="353"/>
    </row>
    <row r="45" spans="1:14" x14ac:dyDescent="0.25">
      <c r="A45" s="71"/>
      <c r="B45" s="353"/>
      <c r="C45" s="355"/>
      <c r="D45" s="355"/>
      <c r="E45" s="355"/>
      <c r="F45" s="355"/>
      <c r="G45" s="355"/>
      <c r="H45" s="355"/>
      <c r="I45" s="355"/>
      <c r="J45" s="355"/>
      <c r="K45" s="70"/>
      <c r="L45" s="353"/>
      <c r="M45" s="353"/>
    </row>
    <row r="46" spans="1:14" x14ac:dyDescent="0.25">
      <c r="A46" s="70"/>
      <c r="C46" s="353"/>
      <c r="D46" s="355"/>
      <c r="E46" s="355"/>
      <c r="F46" s="355"/>
      <c r="G46" s="355"/>
      <c r="H46" s="355"/>
      <c r="I46" s="355"/>
      <c r="J46" s="355"/>
      <c r="K46" s="355"/>
      <c r="L46" s="353"/>
      <c r="M46" s="353"/>
    </row>
    <row r="47" spans="1:14" x14ac:dyDescent="0.25">
      <c r="A47" s="70"/>
      <c r="B47" s="353"/>
      <c r="C47" s="355"/>
      <c r="D47" s="355"/>
      <c r="E47" s="355"/>
      <c r="F47" s="355"/>
      <c r="G47" s="355"/>
      <c r="H47" s="355"/>
      <c r="I47" s="355"/>
      <c r="J47" s="355"/>
      <c r="K47" s="70"/>
      <c r="L47" s="353"/>
      <c r="M47" s="353"/>
    </row>
    <row r="48" spans="1:14" x14ac:dyDescent="0.25">
      <c r="B48" s="72"/>
      <c r="L48" s="353"/>
      <c r="M48" s="353"/>
    </row>
    <row r="49" spans="1:14" x14ac:dyDescent="0.25">
      <c r="A49" s="70"/>
      <c r="B49" s="69"/>
      <c r="C49" s="69"/>
      <c r="D49" s="73"/>
      <c r="E49" s="69"/>
      <c r="F49" s="69"/>
      <c r="G49" s="69"/>
      <c r="H49" s="69"/>
      <c r="I49" s="69"/>
      <c r="J49" s="69"/>
      <c r="K49" s="70"/>
      <c r="L49" s="353"/>
      <c r="M49" s="353"/>
    </row>
    <row r="50" spans="1:14" x14ac:dyDescent="0.25">
      <c r="A50" s="354" t="s">
        <v>124</v>
      </c>
      <c r="B50" s="354"/>
      <c r="C50" s="66"/>
      <c r="D50" s="66"/>
      <c r="E50" s="66"/>
      <c r="F50" s="66"/>
      <c r="G50" s="66"/>
      <c r="H50" s="66"/>
      <c r="I50" s="66"/>
      <c r="J50" s="66"/>
      <c r="K50" s="70"/>
      <c r="L50" s="353"/>
      <c r="M50" s="35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C44:K44"/>
    <mergeCell ref="L44:M44"/>
    <mergeCell ref="C3:L3"/>
    <mergeCell ref="G4:H4"/>
    <mergeCell ref="I4:J4"/>
    <mergeCell ref="A43:I43"/>
    <mergeCell ref="L43:M43"/>
    <mergeCell ref="L48:M48"/>
    <mergeCell ref="L49:M49"/>
    <mergeCell ref="A50:B50"/>
    <mergeCell ref="L50:M50"/>
    <mergeCell ref="B45:J45"/>
    <mergeCell ref="L45:M45"/>
    <mergeCell ref="C46:K46"/>
    <mergeCell ref="L46:M46"/>
    <mergeCell ref="B47:J47"/>
    <mergeCell ref="L47:M47"/>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56" t="s">
        <v>290</v>
      </c>
      <c r="F3" s="357"/>
      <c r="G3" s="357"/>
      <c r="H3" s="357"/>
      <c r="I3" s="357"/>
      <c r="J3" s="357"/>
      <c r="K3" s="357"/>
      <c r="L3" s="357"/>
      <c r="M3" s="357"/>
      <c r="N3" s="357"/>
    </row>
    <row r="4" spans="3:15" x14ac:dyDescent="0.25">
      <c r="C4" s="37"/>
      <c r="D4" s="39"/>
      <c r="E4" s="40">
        <v>2020</v>
      </c>
      <c r="F4" s="40">
        <v>2030</v>
      </c>
      <c r="G4" s="40">
        <v>2040</v>
      </c>
      <c r="H4" s="40">
        <v>2050</v>
      </c>
      <c r="I4" s="358" t="s">
        <v>73</v>
      </c>
      <c r="J4" s="358"/>
      <c r="K4" s="358" t="s">
        <v>74</v>
      </c>
      <c r="L4" s="358"/>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3"/>
      <c r="D43" s="353"/>
      <c r="E43" s="353"/>
      <c r="F43" s="353"/>
      <c r="G43" s="353"/>
      <c r="H43" s="353"/>
      <c r="I43" s="353"/>
      <c r="J43" s="353"/>
      <c r="K43" s="353"/>
      <c r="L43" s="69"/>
      <c r="M43" s="70"/>
      <c r="N43" s="353"/>
      <c r="O43" s="353"/>
    </row>
    <row r="44" spans="3:15" x14ac:dyDescent="0.25">
      <c r="C44" s="70"/>
      <c r="E44" s="353"/>
      <c r="F44" s="355"/>
      <c r="G44" s="355"/>
      <c r="H44" s="355"/>
      <c r="I44" s="355"/>
      <c r="J44" s="355"/>
      <c r="K44" s="355"/>
      <c r="L44" s="355"/>
      <c r="M44" s="355"/>
      <c r="N44" s="353"/>
      <c r="O44" s="353"/>
    </row>
    <row r="45" spans="3:15" x14ac:dyDescent="0.25">
      <c r="C45" s="71"/>
      <c r="D45" s="353"/>
      <c r="E45" s="355"/>
      <c r="F45" s="355"/>
      <c r="G45" s="355"/>
      <c r="H45" s="355"/>
      <c r="I45" s="355"/>
      <c r="J45" s="355"/>
      <c r="K45" s="355"/>
      <c r="L45" s="355"/>
      <c r="M45" s="70"/>
      <c r="N45" s="353"/>
      <c r="O45" s="353"/>
    </row>
    <row r="46" spans="3:15" x14ac:dyDescent="0.25">
      <c r="C46" s="70"/>
      <c r="E46" s="353"/>
      <c r="F46" s="355"/>
      <c r="G46" s="355"/>
      <c r="H46" s="355"/>
      <c r="I46" s="355"/>
      <c r="J46" s="355"/>
      <c r="K46" s="355"/>
      <c r="L46" s="355"/>
      <c r="M46" s="355"/>
      <c r="N46" s="353"/>
      <c r="O46" s="353"/>
    </row>
    <row r="47" spans="3:15" x14ac:dyDescent="0.25">
      <c r="C47" s="70"/>
      <c r="D47" s="353"/>
      <c r="E47" s="355"/>
      <c r="F47" s="355"/>
      <c r="G47" s="355"/>
      <c r="H47" s="355"/>
      <c r="I47" s="355"/>
      <c r="J47" s="355"/>
      <c r="K47" s="355"/>
      <c r="L47" s="355"/>
      <c r="M47" s="70"/>
      <c r="N47" s="353"/>
      <c r="O47" s="353"/>
    </row>
    <row r="48" spans="3:15" x14ac:dyDescent="0.25">
      <c r="D48" s="72"/>
      <c r="N48" s="353"/>
      <c r="O48" s="353"/>
    </row>
    <row r="49" spans="3:15" x14ac:dyDescent="0.25">
      <c r="C49" s="70"/>
      <c r="D49" s="69"/>
      <c r="E49" s="69"/>
      <c r="F49" s="73"/>
      <c r="G49" s="69"/>
      <c r="H49" s="69"/>
      <c r="I49" s="69"/>
      <c r="J49" s="69"/>
      <c r="K49" s="69"/>
      <c r="L49" s="69"/>
      <c r="M49" s="70"/>
      <c r="N49" s="353"/>
      <c r="O49" s="353"/>
    </row>
    <row r="50" spans="3:15" x14ac:dyDescent="0.25">
      <c r="C50" s="354" t="s">
        <v>124</v>
      </c>
      <c r="D50" s="354"/>
      <c r="E50" s="66"/>
      <c r="F50" s="66"/>
      <c r="G50" s="66"/>
      <c r="H50" s="66"/>
      <c r="I50" s="66"/>
      <c r="J50" s="66"/>
      <c r="K50" s="66"/>
      <c r="L50" s="66"/>
      <c r="M50" s="70"/>
      <c r="N50" s="353"/>
      <c r="O50" s="35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E44:M44"/>
    <mergeCell ref="N44:O44"/>
    <mergeCell ref="E3:N3"/>
    <mergeCell ref="I4:J4"/>
    <mergeCell ref="K4:L4"/>
    <mergeCell ref="C43:K43"/>
    <mergeCell ref="N43:O43"/>
    <mergeCell ref="N48:O48"/>
    <mergeCell ref="N49:O49"/>
    <mergeCell ref="C50:D50"/>
    <mergeCell ref="N50:O50"/>
    <mergeCell ref="D45:L45"/>
    <mergeCell ref="N45:O45"/>
    <mergeCell ref="E46:M46"/>
    <mergeCell ref="N46:O46"/>
    <mergeCell ref="D47:L47"/>
    <mergeCell ref="N47:O47"/>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56" t="s">
        <v>269</v>
      </c>
      <c r="E2" s="357"/>
      <c r="F2" s="357"/>
      <c r="G2" s="357"/>
      <c r="H2" s="357"/>
      <c r="I2" s="357"/>
      <c r="J2" s="357"/>
      <c r="K2" s="357"/>
      <c r="L2" s="357"/>
      <c r="M2" s="357"/>
    </row>
    <row r="3" spans="2:14" x14ac:dyDescent="0.25">
      <c r="B3" s="37"/>
      <c r="C3" s="39"/>
      <c r="D3" s="40">
        <v>2020</v>
      </c>
      <c r="E3" s="40">
        <v>2030</v>
      </c>
      <c r="F3" s="40">
        <v>2040</v>
      </c>
      <c r="G3" s="40">
        <v>2050</v>
      </c>
      <c r="H3" s="358" t="s">
        <v>73</v>
      </c>
      <c r="I3" s="358"/>
      <c r="J3" s="358" t="s">
        <v>74</v>
      </c>
      <c r="K3" s="358"/>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3"/>
      <c r="C41" s="353"/>
      <c r="D41" s="353"/>
      <c r="E41" s="353"/>
      <c r="F41" s="353"/>
      <c r="G41" s="353"/>
      <c r="H41" s="353"/>
      <c r="I41" s="353"/>
      <c r="J41" s="353"/>
      <c r="K41" s="69"/>
      <c r="L41" s="70"/>
      <c r="M41" s="353"/>
      <c r="N41" s="353"/>
    </row>
    <row r="42" spans="2:14" x14ac:dyDescent="0.25">
      <c r="B42" s="70"/>
      <c r="D42" s="353"/>
      <c r="E42" s="355"/>
      <c r="F42" s="355"/>
      <c r="G42" s="355"/>
      <c r="H42" s="355"/>
      <c r="I42" s="355"/>
      <c r="J42" s="355"/>
      <c r="K42" s="355"/>
      <c r="L42" s="355"/>
      <c r="M42" s="353"/>
      <c r="N42" s="353"/>
    </row>
    <row r="43" spans="2:14" x14ac:dyDescent="0.25">
      <c r="B43" s="71"/>
      <c r="C43" s="353"/>
      <c r="D43" s="355"/>
      <c r="E43" s="355"/>
      <c r="F43" s="355"/>
      <c r="G43" s="355"/>
      <c r="H43" s="355"/>
      <c r="I43" s="355"/>
      <c r="J43" s="355"/>
      <c r="K43" s="355"/>
      <c r="L43" s="70"/>
      <c r="M43" s="353"/>
      <c r="N43" s="353"/>
    </row>
    <row r="44" spans="2:14" x14ac:dyDescent="0.25">
      <c r="B44" s="70"/>
      <c r="D44" s="353"/>
      <c r="E44" s="355"/>
      <c r="F44" s="355"/>
      <c r="G44" s="355"/>
      <c r="H44" s="355"/>
      <c r="I44" s="355"/>
      <c r="J44" s="355"/>
      <c r="K44" s="355"/>
      <c r="L44" s="355"/>
      <c r="M44" s="353"/>
      <c r="N44" s="353"/>
    </row>
    <row r="45" spans="2:14" x14ac:dyDescent="0.25">
      <c r="B45" s="70"/>
      <c r="C45" s="353"/>
      <c r="D45" s="355"/>
      <c r="E45" s="355"/>
      <c r="F45" s="355"/>
      <c r="G45" s="355"/>
      <c r="H45" s="355"/>
      <c r="I45" s="355"/>
      <c r="J45" s="355"/>
      <c r="K45" s="355"/>
      <c r="L45" s="70"/>
      <c r="M45" s="353"/>
      <c r="N45" s="353"/>
    </row>
    <row r="46" spans="2:14" x14ac:dyDescent="0.25">
      <c r="C46" s="72"/>
      <c r="M46" s="353"/>
      <c r="N46" s="353"/>
    </row>
    <row r="47" spans="2:14" x14ac:dyDescent="0.25">
      <c r="B47" s="70"/>
      <c r="C47" s="69"/>
      <c r="D47" s="69"/>
      <c r="E47" s="73"/>
      <c r="F47" s="69"/>
      <c r="G47" s="69"/>
      <c r="H47" s="69"/>
      <c r="I47" s="69"/>
      <c r="J47" s="69"/>
      <c r="K47" s="69"/>
      <c r="L47" s="70"/>
      <c r="M47" s="353"/>
      <c r="N47" s="353"/>
    </row>
    <row r="48" spans="2:14" x14ac:dyDescent="0.25">
      <c r="B48" s="354" t="s">
        <v>124</v>
      </c>
      <c r="C48" s="354"/>
      <c r="D48" s="66"/>
      <c r="E48" s="66"/>
      <c r="F48" s="66"/>
      <c r="G48" s="66"/>
      <c r="H48" s="66"/>
      <c r="I48" s="66"/>
      <c r="J48" s="66"/>
      <c r="K48" s="66"/>
      <c r="L48" s="70"/>
      <c r="M48" s="353"/>
      <c r="N48" s="353"/>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D42:L42"/>
    <mergeCell ref="M42:N42"/>
    <mergeCell ref="D2:M2"/>
    <mergeCell ref="H3:I3"/>
    <mergeCell ref="J3:K3"/>
    <mergeCell ref="B41:J41"/>
    <mergeCell ref="M41:N41"/>
    <mergeCell ref="M46:N46"/>
    <mergeCell ref="M47:N47"/>
    <mergeCell ref="B48:C48"/>
    <mergeCell ref="M48:N48"/>
    <mergeCell ref="C43:K43"/>
    <mergeCell ref="M43:N43"/>
    <mergeCell ref="D44:L44"/>
    <mergeCell ref="M44:N44"/>
    <mergeCell ref="C45:K45"/>
    <mergeCell ref="M45:N45"/>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1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9" t="s">
        <v>368</v>
      </c>
      <c r="D3" s="359"/>
      <c r="E3" s="359"/>
      <c r="F3" s="359"/>
      <c r="G3" s="359"/>
      <c r="H3" s="359"/>
      <c r="I3" s="359"/>
      <c r="J3" s="359"/>
      <c r="K3" s="359"/>
      <c r="L3" s="359"/>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7"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7" ht="13.8" thickBot="1" x14ac:dyDescent="0.3">
      <c r="B18" s="162"/>
      <c r="C18" s="171"/>
      <c r="D18" s="171"/>
      <c r="E18" s="171"/>
      <c r="F18" s="171"/>
      <c r="G18" s="165"/>
      <c r="H18" s="165"/>
      <c r="I18" s="165"/>
      <c r="J18" s="165"/>
      <c r="K18" s="160"/>
      <c r="L18" s="160"/>
    </row>
    <row r="19" spans="2:17" ht="13.8" thickBot="1" x14ac:dyDescent="0.3">
      <c r="B19" s="169" t="s">
        <v>377</v>
      </c>
      <c r="C19" s="165">
        <v>0.05</v>
      </c>
      <c r="D19" s="165">
        <v>0.03</v>
      </c>
      <c r="E19" s="165">
        <v>0.03</v>
      </c>
      <c r="F19" s="165">
        <v>0.02</v>
      </c>
      <c r="G19" s="165">
        <v>0.02</v>
      </c>
      <c r="H19" s="165">
        <v>0.08</v>
      </c>
      <c r="I19" s="165">
        <v>0.02</v>
      </c>
      <c r="J19" s="165">
        <v>0.04</v>
      </c>
      <c r="K19" s="160"/>
      <c r="L19" s="160" t="s">
        <v>192</v>
      </c>
    </row>
    <row r="20" spans="2:17" ht="13.8" thickBot="1" x14ac:dyDescent="0.3">
      <c r="B20" s="162" t="s">
        <v>309</v>
      </c>
      <c r="C20" s="165">
        <v>0.03</v>
      </c>
      <c r="D20" s="165">
        <v>0.03</v>
      </c>
      <c r="E20" s="165">
        <v>0.03</v>
      </c>
      <c r="F20" s="165">
        <v>0.03</v>
      </c>
      <c r="G20" s="165"/>
      <c r="H20" s="165"/>
      <c r="I20" s="165"/>
      <c r="J20" s="165"/>
      <c r="K20" s="160"/>
      <c r="L20" s="160" t="s">
        <v>192</v>
      </c>
    </row>
    <row r="21" spans="2:17"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7" ht="15" thickBot="1" x14ac:dyDescent="0.35">
      <c r="B22" s="162" t="s">
        <v>310</v>
      </c>
      <c r="C22" s="164">
        <v>30</v>
      </c>
      <c r="D22" s="164">
        <v>30</v>
      </c>
      <c r="E22" s="164">
        <v>30</v>
      </c>
      <c r="F22" s="164">
        <v>30</v>
      </c>
      <c r="G22" s="164"/>
      <c r="H22" s="164"/>
      <c r="I22" s="164"/>
      <c r="J22" s="164"/>
      <c r="K22" s="160"/>
      <c r="L22" s="160"/>
      <c r="M22" s="102"/>
    </row>
    <row r="23" spans="2:17" ht="15" thickBot="1" x14ac:dyDescent="0.35">
      <c r="B23" s="162" t="s">
        <v>311</v>
      </c>
      <c r="C23" s="164">
        <v>2</v>
      </c>
      <c r="D23" s="164">
        <v>2</v>
      </c>
      <c r="E23" s="164">
        <v>2</v>
      </c>
      <c r="F23" s="164">
        <v>2</v>
      </c>
      <c r="G23" s="164"/>
      <c r="H23" s="164"/>
      <c r="I23" s="164"/>
      <c r="J23" s="164"/>
      <c r="K23" s="160"/>
      <c r="L23" s="160"/>
      <c r="M23" s="102"/>
    </row>
    <row r="24" spans="2:17" ht="13.8" thickBot="1" x14ac:dyDescent="0.3">
      <c r="B24" s="161" t="s">
        <v>320</v>
      </c>
      <c r="C24" s="164"/>
      <c r="D24" s="164"/>
      <c r="E24" s="164"/>
      <c r="F24" s="164"/>
      <c r="G24" s="164"/>
      <c r="H24" s="164"/>
      <c r="I24" s="164"/>
      <c r="J24" s="164"/>
      <c r="K24" s="160"/>
      <c r="L24" s="160"/>
    </row>
    <row r="25" spans="2:17"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7"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7"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7"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7"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7" ht="13.8" thickBot="1" x14ac:dyDescent="0.3">
      <c r="B30" s="162" t="s">
        <v>383</v>
      </c>
      <c r="C30" s="164" t="s">
        <v>197</v>
      </c>
      <c r="D30" s="164" t="s">
        <v>197</v>
      </c>
      <c r="E30" s="164" t="s">
        <v>197</v>
      </c>
      <c r="F30" s="164" t="s">
        <v>197</v>
      </c>
      <c r="G30" s="166">
        <v>0</v>
      </c>
      <c r="H30" s="166">
        <v>0</v>
      </c>
      <c r="I30" s="166">
        <v>0</v>
      </c>
      <c r="J30" s="166">
        <v>0</v>
      </c>
      <c r="K30" s="160">
        <v>0</v>
      </c>
      <c r="L30" s="160"/>
    </row>
    <row r="31" spans="2:17" ht="13.8" thickBot="1" x14ac:dyDescent="0.3">
      <c r="B31" s="161" t="s">
        <v>333</v>
      </c>
      <c r="C31" s="164"/>
      <c r="D31" s="164"/>
      <c r="E31" s="164"/>
      <c r="F31" s="164"/>
      <c r="G31" s="166"/>
      <c r="H31" s="166"/>
      <c r="I31" s="166"/>
      <c r="J31" s="166"/>
      <c r="K31" s="160"/>
      <c r="L31" s="160"/>
      <c r="P31">
        <f>M33*0.0000036</f>
        <v>1.8899999999999999E-5</v>
      </c>
      <c r="Q31" t="s">
        <v>687</v>
      </c>
    </row>
    <row r="32" spans="2:17"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5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60" t="s">
        <v>391</v>
      </c>
      <c r="D2" s="361"/>
      <c r="E2" s="361"/>
      <c r="F2" s="361"/>
      <c r="G2" s="361"/>
      <c r="H2" s="361"/>
      <c r="I2" s="361"/>
      <c r="J2" s="361"/>
      <c r="K2" s="361"/>
      <c r="L2" s="361"/>
      <c r="M2" s="361"/>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S11" sqref="S11"/>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2" t="s">
        <v>429</v>
      </c>
      <c r="C1" s="363"/>
      <c r="D1" s="363"/>
      <c r="E1" s="363"/>
      <c r="F1" s="363"/>
      <c r="G1" s="363"/>
      <c r="H1" s="363"/>
      <c r="I1" s="363"/>
      <c r="J1" s="363"/>
      <c r="K1" s="363"/>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64" t="s">
        <v>526</v>
      </c>
      <c r="O1" s="366" t="s">
        <v>527</v>
      </c>
      <c r="P1" s="366"/>
      <c r="Q1" s="366"/>
      <c r="R1" s="366"/>
      <c r="S1" s="366"/>
      <c r="T1" s="366"/>
      <c r="U1" s="366"/>
      <c r="V1" s="366"/>
      <c r="W1" s="366"/>
      <c r="X1" s="366"/>
      <c r="Y1" s="366"/>
      <c r="Z1" s="367"/>
    </row>
    <row r="2" spans="1:26" ht="15" thickBot="1" x14ac:dyDescent="0.35">
      <c r="A2" s="249" t="s">
        <v>71</v>
      </c>
      <c r="B2" s="368" t="s">
        <v>528</v>
      </c>
      <c r="C2" s="369"/>
      <c r="D2" s="369"/>
      <c r="E2" s="369"/>
      <c r="F2" s="369"/>
      <c r="G2" s="369"/>
      <c r="H2" s="369"/>
      <c r="I2" s="369"/>
      <c r="J2" s="369"/>
      <c r="K2" s="370"/>
      <c r="N2" s="365"/>
      <c r="O2" s="371" t="s">
        <v>529</v>
      </c>
      <c r="P2" s="372"/>
      <c r="Q2" s="372"/>
      <c r="R2" s="373"/>
      <c r="S2" s="372" t="s">
        <v>530</v>
      </c>
      <c r="T2" s="372"/>
      <c r="U2" s="372"/>
      <c r="V2" s="372"/>
      <c r="W2" s="371" t="s">
        <v>531</v>
      </c>
      <c r="X2" s="372"/>
      <c r="Y2" s="372"/>
      <c r="Z2" s="374"/>
    </row>
    <row r="3" spans="1:26" ht="13.8" thickBot="1" x14ac:dyDescent="0.3">
      <c r="A3" s="375" t="s">
        <v>77</v>
      </c>
      <c r="B3" s="377">
        <v>2020</v>
      </c>
      <c r="C3" s="377">
        <v>2030</v>
      </c>
      <c r="D3" s="377">
        <v>2040</v>
      </c>
      <c r="E3" s="377">
        <v>2050</v>
      </c>
      <c r="F3" s="390">
        <v>2030</v>
      </c>
      <c r="G3" s="380"/>
      <c r="H3" s="379">
        <v>2050</v>
      </c>
      <c r="I3" s="380"/>
      <c r="J3" s="377" t="s">
        <v>75</v>
      </c>
      <c r="K3" s="377"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76"/>
      <c r="B4" s="378"/>
      <c r="C4" s="378"/>
      <c r="D4" s="378"/>
      <c r="E4" s="378"/>
      <c r="F4" s="253" t="s">
        <v>78</v>
      </c>
      <c r="G4" s="253" t="s">
        <v>79</v>
      </c>
      <c r="H4" s="253" t="s">
        <v>78</v>
      </c>
      <c r="I4" s="253" t="s">
        <v>79</v>
      </c>
      <c r="J4" s="378"/>
      <c r="K4" s="378"/>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81" t="s">
        <v>557</v>
      </c>
      <c r="C18" s="382"/>
      <c r="D18" s="382"/>
      <c r="E18" s="383"/>
      <c r="F18" s="286"/>
      <c r="G18" s="286"/>
      <c r="H18" s="286"/>
      <c r="I18" s="286"/>
      <c r="J18" s="278"/>
      <c r="K18" s="279"/>
    </row>
    <row r="19" spans="1:11" x14ac:dyDescent="0.25">
      <c r="A19" s="262" t="s">
        <v>558</v>
      </c>
      <c r="B19" s="384"/>
      <c r="C19" s="385"/>
      <c r="D19" s="385"/>
      <c r="E19" s="386"/>
      <c r="F19" s="286"/>
      <c r="G19" s="286"/>
      <c r="H19" s="286"/>
      <c r="I19" s="286"/>
      <c r="J19" s="278"/>
      <c r="K19" s="279"/>
    </row>
    <row r="20" spans="1:11" ht="15.6" x14ac:dyDescent="0.25">
      <c r="A20" s="262" t="s">
        <v>559</v>
      </c>
      <c r="B20" s="384"/>
      <c r="C20" s="385"/>
      <c r="D20" s="385"/>
      <c r="E20" s="386"/>
      <c r="F20" s="286"/>
      <c r="G20" s="286"/>
      <c r="H20" s="286"/>
      <c r="I20" s="286"/>
      <c r="J20" s="278"/>
      <c r="K20" s="279"/>
    </row>
    <row r="21" spans="1:11" x14ac:dyDescent="0.25">
      <c r="A21" s="262" t="s">
        <v>560</v>
      </c>
      <c r="B21" s="384"/>
      <c r="C21" s="385"/>
      <c r="D21" s="385"/>
      <c r="E21" s="386"/>
      <c r="F21" s="286"/>
      <c r="G21" s="286"/>
      <c r="H21" s="286"/>
      <c r="I21" s="286"/>
      <c r="J21" s="278"/>
      <c r="K21" s="279"/>
    </row>
    <row r="22" spans="1:11" ht="13.8" thickBot="1" x14ac:dyDescent="0.3">
      <c r="A22" s="287" t="s">
        <v>561</v>
      </c>
      <c r="B22" s="384"/>
      <c r="C22" s="385"/>
      <c r="D22" s="385"/>
      <c r="E22" s="386"/>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87" t="s">
        <v>557</v>
      </c>
      <c r="C38" s="388"/>
      <c r="D38" s="388"/>
      <c r="E38" s="389"/>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H3:I3"/>
    <mergeCell ref="J3:J4"/>
    <mergeCell ref="K3:K4"/>
    <mergeCell ref="B18:E22"/>
    <mergeCell ref="B38:E38"/>
    <mergeCell ref="F3:G3"/>
    <mergeCell ref="A3:A4"/>
    <mergeCell ref="B3:B4"/>
    <mergeCell ref="C3:C4"/>
    <mergeCell ref="D3:D4"/>
    <mergeCell ref="E3:E4"/>
    <mergeCell ref="N1:N2"/>
    <mergeCell ref="O1:Z1"/>
    <mergeCell ref="B2:K2"/>
    <mergeCell ref="O2:R2"/>
    <mergeCell ref="S2:V2"/>
    <mergeCell ref="W2:Z2"/>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S29" sqref="S29"/>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246</v>
      </c>
      <c r="X4" s="110" t="s">
        <v>224</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216</v>
      </c>
      <c r="E7" s="13" t="s">
        <v>5</v>
      </c>
      <c r="F7" s="13" t="s">
        <v>6</v>
      </c>
      <c r="G7" s="13" t="s">
        <v>61</v>
      </c>
      <c r="H7" s="87" t="s">
        <v>68</v>
      </c>
      <c r="I7" s="30" t="s">
        <v>163</v>
      </c>
      <c r="J7" s="88" t="s">
        <v>50</v>
      </c>
      <c r="K7" s="88" t="s">
        <v>48</v>
      </c>
      <c r="L7" s="88" t="s">
        <v>49</v>
      </c>
      <c r="M7" s="88" t="s">
        <v>64</v>
      </c>
      <c r="N7" s="87" t="s">
        <v>46</v>
      </c>
      <c r="O7" s="87" t="s">
        <v>70</v>
      </c>
      <c r="P7" s="87" t="s">
        <v>469</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217</v>
      </c>
      <c r="E8" s="11" t="s">
        <v>32</v>
      </c>
      <c r="F8" s="11" t="s">
        <v>33</v>
      </c>
      <c r="G8" s="11"/>
      <c r="H8" s="89"/>
      <c r="I8" s="32" t="s">
        <v>169</v>
      </c>
      <c r="J8" s="89" t="s">
        <v>52</v>
      </c>
      <c r="K8" s="89" t="s">
        <v>56</v>
      </c>
      <c r="L8" s="89" t="s">
        <v>55</v>
      </c>
      <c r="M8" s="89" t="s">
        <v>65</v>
      </c>
      <c r="N8" s="89" t="s">
        <v>69</v>
      </c>
      <c r="O8" s="89" t="s">
        <v>66</v>
      </c>
      <c r="P8" s="89" t="s">
        <v>470</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677</v>
      </c>
      <c r="J9" s="90"/>
      <c r="K9" s="90" t="s">
        <v>151</v>
      </c>
      <c r="L9" s="90" t="s">
        <v>268</v>
      </c>
      <c r="M9" s="90" t="s">
        <v>267</v>
      </c>
      <c r="N9" s="90" t="s">
        <v>54</v>
      </c>
      <c r="O9" s="90" t="s">
        <v>152</v>
      </c>
      <c r="P9" s="90" t="s">
        <v>177</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362</v>
      </c>
      <c r="V10" s="33" t="s">
        <v>45</v>
      </c>
      <c r="W10" s="33" t="s">
        <v>62</v>
      </c>
      <c r="X10" s="110" t="s">
        <v>224</v>
      </c>
      <c r="Y10" s="33"/>
      <c r="Z10" s="33" t="s">
        <v>244</v>
      </c>
    </row>
    <row r="11" spans="3:26" x14ac:dyDescent="0.25">
      <c r="C11" s="36"/>
      <c r="D11" t="s">
        <v>647</v>
      </c>
      <c r="G11" s="16">
        <v>2025</v>
      </c>
      <c r="I11" s="16">
        <f>$S$39</f>
        <v>1879.4326241134754</v>
      </c>
      <c r="J11" s="26"/>
      <c r="M11" s="26"/>
      <c r="Q11" s="20"/>
      <c r="R11" s="33" t="s">
        <v>63</v>
      </c>
      <c r="S11" s="33"/>
      <c r="T11" s="33" t="s">
        <v>361</v>
      </c>
      <c r="U11" s="33" t="s">
        <v>363</v>
      </c>
      <c r="V11" s="33" t="s">
        <v>45</v>
      </c>
      <c r="W11" s="33" t="s">
        <v>62</v>
      </c>
      <c r="X11" s="110" t="s">
        <v>224</v>
      </c>
      <c r="Y11" s="33"/>
      <c r="Z11" s="33" t="s">
        <v>244</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647</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647</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647</v>
      </c>
      <c r="G17" s="16">
        <v>2050</v>
      </c>
      <c r="I17" s="16">
        <f>$S$39</f>
        <v>1879.4326241134754</v>
      </c>
      <c r="J17" s="26"/>
      <c r="M17" s="26"/>
      <c r="Q17" s="21"/>
      <c r="R17" s="33"/>
      <c r="S17" s="33"/>
      <c r="X17" s="33"/>
      <c r="Y17" s="33"/>
      <c r="Z17" s="33"/>
    </row>
    <row r="18" spans="3:26" ht="13.8" thickTop="1" x14ac:dyDescent="0.25">
      <c r="C18" s="129" t="s">
        <v>361</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647</v>
      </c>
      <c r="G19" s="16">
        <v>2025</v>
      </c>
      <c r="H19" s="339"/>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647</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647</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647</v>
      </c>
      <c r="G25" s="16">
        <v>2050</v>
      </c>
      <c r="I25" s="16">
        <f>$S$39</f>
        <v>1879.4326241134754</v>
      </c>
      <c r="J25" s="26"/>
      <c r="M25" s="26"/>
      <c r="Q25" s="21"/>
    </row>
    <row r="27" spans="3:26" x14ac:dyDescent="0.25">
      <c r="J27" s="26"/>
      <c r="M27" s="26"/>
      <c r="S27" t="s">
        <v>672</v>
      </c>
    </row>
    <row r="28" spans="3:26" x14ac:dyDescent="0.25">
      <c r="J28" s="26"/>
      <c r="M28" s="26"/>
    </row>
    <row r="29" spans="3:26" ht="13.8" thickBot="1" x14ac:dyDescent="0.3">
      <c r="J29" s="26"/>
      <c r="L29" s="26"/>
      <c r="M29" s="26"/>
      <c r="O29" s="18"/>
      <c r="P29" s="18"/>
      <c r="S29">
        <f>180000+13000+10000+115000</f>
        <v>318000</v>
      </c>
      <c r="T29" t="s">
        <v>638</v>
      </c>
    </row>
    <row r="30" spans="3:26" ht="13.8" thickTop="1" x14ac:dyDescent="0.25">
      <c r="L30" s="128"/>
      <c r="S30">
        <v>10</v>
      </c>
      <c r="T30" t="s">
        <v>62</v>
      </c>
    </row>
    <row r="32" spans="3:26" x14ac:dyDescent="0.25">
      <c r="S32">
        <v>4700</v>
      </c>
      <c r="T32" t="s">
        <v>673</v>
      </c>
    </row>
    <row r="34" spans="16:24" x14ac:dyDescent="0.25">
      <c r="S34">
        <f>S32*S30</f>
        <v>47000</v>
      </c>
      <c r="T34" t="s">
        <v>674</v>
      </c>
    </row>
    <row r="35" spans="16:24" x14ac:dyDescent="0.25">
      <c r="U35" s="15"/>
      <c r="X35" s="1"/>
    </row>
    <row r="36" spans="16:24" x14ac:dyDescent="0.25">
      <c r="P36" s="16">
        <v>1</v>
      </c>
      <c r="Q36" s="339" t="s">
        <v>674</v>
      </c>
      <c r="S36">
        <f>S34*P37</f>
        <v>169.2</v>
      </c>
      <c r="T36" t="s">
        <v>517</v>
      </c>
      <c r="U36" s="15"/>
    </row>
    <row r="37" spans="16:24" x14ac:dyDescent="0.25">
      <c r="P37" s="16">
        <v>3.5999999999999999E-3</v>
      </c>
      <c r="Q37" s="339" t="s">
        <v>517</v>
      </c>
      <c r="U37" s="15"/>
    </row>
    <row r="38" spans="16:24" x14ac:dyDescent="0.25">
      <c r="S38" t="s">
        <v>675</v>
      </c>
      <c r="U38" s="15"/>
    </row>
    <row r="39" spans="16:24" x14ac:dyDescent="0.25">
      <c r="S39">
        <f>S29/S36</f>
        <v>1879.4326241134754</v>
      </c>
      <c r="T39" t="s">
        <v>676</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abSelected="1" topLeftCell="K3" zoomScale="60" workbookViewId="0">
      <selection activeCell="U13" sqref="U13"/>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33"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35" t="s">
        <v>661</v>
      </c>
      <c r="AK37" s="335">
        <f>AJ35/AH49</f>
        <v>2.9545330196421734E-3</v>
      </c>
      <c r="AL37" s="335" t="s">
        <v>662</v>
      </c>
    </row>
    <row r="47" spans="36:40" x14ac:dyDescent="0.25">
      <c r="AL47" s="111" t="s">
        <v>657</v>
      </c>
    </row>
    <row r="49" spans="34:38" ht="15.6" x14ac:dyDescent="0.3">
      <c r="AH49" s="334">
        <v>490000</v>
      </c>
      <c r="AI49" s="334" t="s">
        <v>652</v>
      </c>
    </row>
    <row r="50" spans="34:38" ht="15.6" x14ac:dyDescent="0.3">
      <c r="AH50" s="334"/>
      <c r="AI50" s="334"/>
    </row>
    <row r="51" spans="34:38" ht="15.6" x14ac:dyDescent="0.3">
      <c r="AH51" s="334">
        <v>700000</v>
      </c>
      <c r="AI51" s="334" t="s">
        <v>653</v>
      </c>
      <c r="AL51">
        <f>AH51/$AH$49</f>
        <v>1.4285714285714286</v>
      </c>
    </row>
    <row r="52" spans="34:38" ht="15.6" x14ac:dyDescent="0.3">
      <c r="AH52" s="334">
        <v>115000</v>
      </c>
      <c r="AI52" s="334" t="s">
        <v>654</v>
      </c>
      <c r="AL52">
        <f t="shared" ref="AL52:AL54" si="1">AH52/$AH$49</f>
        <v>0.23469387755102042</v>
      </c>
    </row>
    <row r="53" spans="34:38" ht="15.6" x14ac:dyDescent="0.3">
      <c r="AH53" s="334">
        <v>2320000</v>
      </c>
      <c r="AI53" s="334" t="s">
        <v>655</v>
      </c>
      <c r="AL53">
        <f t="shared" si="1"/>
        <v>4.7346938775510203</v>
      </c>
    </row>
    <row r="54" spans="34:38" ht="15.6" x14ac:dyDescent="0.3">
      <c r="AH54" s="334">
        <v>17260000</v>
      </c>
      <c r="AI54" s="334" t="s">
        <v>656</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0"/>
  <sheetViews>
    <sheetView topLeftCell="A5" zoomScale="55" workbookViewId="0">
      <selection activeCell="V14" sqref="V14:V16"/>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s="29" t="s">
        <v>44</v>
      </c>
      <c r="W4" t="s">
        <v>156</v>
      </c>
      <c r="X4" t="s">
        <v>157</v>
      </c>
      <c r="Y4" t="s">
        <v>45</v>
      </c>
      <c r="Z4" s="29"/>
      <c r="AA4" s="110" t="s">
        <v>224</v>
      </c>
      <c r="AB4" s="29"/>
      <c r="AC4" s="29"/>
    </row>
    <row r="5" spans="2:29" x14ac:dyDescent="0.25">
      <c r="V5" t="s">
        <v>44</v>
      </c>
      <c r="W5" s="93" t="s">
        <v>160</v>
      </c>
      <c r="X5" t="s">
        <v>520</v>
      </c>
      <c r="Y5" t="s">
        <v>45</v>
      </c>
      <c r="AA5" t="s">
        <v>224</v>
      </c>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165</v>
      </c>
      <c r="O11" s="30" t="s">
        <v>166</v>
      </c>
      <c r="P11" s="30" t="s">
        <v>70</v>
      </c>
      <c r="Q11" s="30" t="s">
        <v>48</v>
      </c>
      <c r="R11" s="30" t="s">
        <v>49</v>
      </c>
      <c r="S11" s="30" t="s">
        <v>64</v>
      </c>
      <c r="T11" s="30" t="s">
        <v>469</v>
      </c>
      <c r="V11" s="30" t="s">
        <v>11</v>
      </c>
      <c r="W11" s="30" t="s">
        <v>1</v>
      </c>
      <c r="X11" s="30" t="s">
        <v>2</v>
      </c>
      <c r="Y11" s="30" t="s">
        <v>16</v>
      </c>
      <c r="Z11" s="30" t="s">
        <v>17</v>
      </c>
      <c r="AA11" s="30" t="s">
        <v>18</v>
      </c>
      <c r="AB11" s="30" t="s">
        <v>19</v>
      </c>
      <c r="AC11" s="30" t="s">
        <v>20</v>
      </c>
    </row>
    <row r="12" spans="2:29" ht="21.6" thickBot="1" x14ac:dyDescent="0.3">
      <c r="B12" s="32" t="s">
        <v>167</v>
      </c>
      <c r="C12" s="32" t="s">
        <v>22</v>
      </c>
      <c r="D12" s="32" t="s">
        <v>217</v>
      </c>
      <c r="E12" s="32" t="s">
        <v>32</v>
      </c>
      <c r="F12" s="32" t="s">
        <v>33</v>
      </c>
      <c r="G12" s="32" t="s">
        <v>168</v>
      </c>
      <c r="H12" s="32"/>
      <c r="I12" s="32"/>
      <c r="J12" s="32" t="s">
        <v>52</v>
      </c>
      <c r="K12" s="32" t="s">
        <v>169</v>
      </c>
      <c r="L12" s="32" t="s">
        <v>170</v>
      </c>
      <c r="M12" s="32" t="s">
        <v>171</v>
      </c>
      <c r="N12" s="32"/>
      <c r="O12" s="32" t="s">
        <v>247</v>
      </c>
      <c r="P12" s="32" t="s">
        <v>66</v>
      </c>
      <c r="Q12" s="32" t="s">
        <v>173</v>
      </c>
      <c r="R12" s="32" t="s">
        <v>55</v>
      </c>
      <c r="S12" s="32" t="s">
        <v>65</v>
      </c>
      <c r="T12" s="32" t="s">
        <v>471</v>
      </c>
      <c r="V12" s="32" t="s">
        <v>35</v>
      </c>
      <c r="W12" s="32" t="s">
        <v>21</v>
      </c>
      <c r="X12" s="32" t="s">
        <v>22</v>
      </c>
      <c r="Y12" s="32" t="s">
        <v>23</v>
      </c>
      <c r="Z12" s="32" t="s">
        <v>24</v>
      </c>
      <c r="AA12" s="32" t="s">
        <v>245</v>
      </c>
      <c r="AB12" s="32" t="s">
        <v>39</v>
      </c>
      <c r="AC12" s="32" t="s">
        <v>25</v>
      </c>
    </row>
    <row r="13" spans="2:29" ht="13.8" thickBot="1" x14ac:dyDescent="0.3">
      <c r="B13" s="32" t="s">
        <v>174</v>
      </c>
      <c r="C13" s="32"/>
      <c r="D13" s="10"/>
      <c r="E13" s="32"/>
      <c r="F13" s="32"/>
      <c r="G13" s="32"/>
      <c r="H13" s="32"/>
      <c r="I13" s="32"/>
      <c r="J13" s="32" t="s">
        <v>175</v>
      </c>
      <c r="K13" s="32" t="s">
        <v>677</v>
      </c>
      <c r="L13" s="32" t="s">
        <v>176</v>
      </c>
      <c r="M13" s="32" t="s">
        <v>97</v>
      </c>
      <c r="N13" s="32"/>
      <c r="O13" s="32" t="s">
        <v>177</v>
      </c>
      <c r="P13" s="32" t="s">
        <v>231</v>
      </c>
      <c r="Q13" s="32" t="s">
        <v>232</v>
      </c>
      <c r="R13" s="32" t="s">
        <v>234</v>
      </c>
      <c r="S13" s="32" t="s">
        <v>233</v>
      </c>
      <c r="T13" s="32" t="s">
        <v>177</v>
      </c>
      <c r="V13" s="32" t="s">
        <v>47</v>
      </c>
      <c r="W13" s="32"/>
      <c r="X13" s="32"/>
      <c r="Y13" s="32"/>
      <c r="Z13" s="32"/>
      <c r="AA13" s="32"/>
      <c r="AB13" s="32"/>
      <c r="AC13" s="32"/>
    </row>
    <row r="14" spans="2:29" x14ac:dyDescent="0.25">
      <c r="B14" s="93" t="s">
        <v>158</v>
      </c>
      <c r="C14" s="93" t="s">
        <v>159</v>
      </c>
      <c r="D14" s="36"/>
      <c r="E14" s="93" t="s">
        <v>41</v>
      </c>
      <c r="F14" s="93" t="s">
        <v>156</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702</v>
      </c>
      <c r="W14" s="33" t="s">
        <v>158</v>
      </c>
      <c r="X14" s="33" t="s">
        <v>159</v>
      </c>
      <c r="Y14" s="33" t="s">
        <v>45</v>
      </c>
      <c r="Z14" s="110" t="s">
        <v>62</v>
      </c>
      <c r="AA14" s="33" t="s">
        <v>224</v>
      </c>
      <c r="AB14" s="33" t="s">
        <v>156</v>
      </c>
      <c r="AC14" s="33" t="s">
        <v>244</v>
      </c>
    </row>
    <row r="15" spans="2:29" x14ac:dyDescent="0.25">
      <c r="B15" s="93"/>
      <c r="C15" s="93"/>
      <c r="D15" t="s">
        <v>647</v>
      </c>
      <c r="E15" s="93"/>
      <c r="F15" s="93"/>
      <c r="G15" s="93" t="s">
        <v>160</v>
      </c>
      <c r="H15" s="93">
        <v>2020</v>
      </c>
      <c r="I15" s="93"/>
      <c r="J15" s="132" t="s">
        <v>161</v>
      </c>
      <c r="K15" s="132">
        <f>$R$48</f>
        <v>1494.8901935203305</v>
      </c>
      <c r="L15" s="94">
        <v>0.18389138913891387</v>
      </c>
      <c r="M15" s="93"/>
      <c r="N15" s="93" t="s">
        <v>161</v>
      </c>
      <c r="O15" s="95"/>
      <c r="P15" s="96"/>
      <c r="Q15" s="94"/>
      <c r="R15" s="94"/>
      <c r="S15" s="93"/>
      <c r="T15" s="93"/>
      <c r="V15" s="33" t="s">
        <v>702</v>
      </c>
      <c r="W15" s="16" t="s">
        <v>364</v>
      </c>
      <c r="X15" s="16" t="s">
        <v>365</v>
      </c>
      <c r="Y15" s="33" t="s">
        <v>45</v>
      </c>
      <c r="Z15" s="110" t="s">
        <v>62</v>
      </c>
      <c r="AA15" s="33" t="s">
        <v>224</v>
      </c>
      <c r="AB15" s="33" t="s">
        <v>156</v>
      </c>
      <c r="AC15" s="33" t="s">
        <v>244</v>
      </c>
    </row>
    <row r="16" spans="2:29" x14ac:dyDescent="0.25">
      <c r="D16" s="36"/>
      <c r="E16" s="93" t="s">
        <v>41</v>
      </c>
      <c r="F16" s="93" t="s">
        <v>156</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702</v>
      </c>
      <c r="W16" s="93" t="s">
        <v>366</v>
      </c>
      <c r="X16" s="93" t="s">
        <v>367</v>
      </c>
      <c r="Y16" s="33" t="s">
        <v>45</v>
      </c>
      <c r="Z16" s="110" t="s">
        <v>62</v>
      </c>
      <c r="AA16" s="33" t="s">
        <v>224</v>
      </c>
      <c r="AB16" s="33" t="s">
        <v>156</v>
      </c>
      <c r="AC16" s="33" t="s">
        <v>244</v>
      </c>
    </row>
    <row r="17" spans="2:28" x14ac:dyDescent="0.25">
      <c r="D17" t="s">
        <v>647</v>
      </c>
      <c r="E17" s="93"/>
      <c r="F17" s="93"/>
      <c r="G17" s="93" t="s">
        <v>160</v>
      </c>
      <c r="H17">
        <v>2030</v>
      </c>
      <c r="J17" s="94"/>
      <c r="K17" s="132">
        <f t="shared" ref="K17" si="1">$R$48</f>
        <v>1494.8901935203305</v>
      </c>
      <c r="L17" s="12">
        <v>0.16615961596159623</v>
      </c>
      <c r="N17" t="s">
        <v>161</v>
      </c>
      <c r="Q17" s="12"/>
      <c r="R17" s="94"/>
    </row>
    <row r="18" spans="2:28" x14ac:dyDescent="0.25">
      <c r="D18" s="36"/>
      <c r="E18" s="93" t="s">
        <v>41</v>
      </c>
      <c r="F18" s="93" t="s">
        <v>156</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647</v>
      </c>
      <c r="E19" s="93"/>
      <c r="F19" s="93"/>
      <c r="G19" s="93" t="s">
        <v>160</v>
      </c>
      <c r="H19">
        <v>2040</v>
      </c>
      <c r="J19" s="94"/>
      <c r="K19" s="132">
        <f t="shared" ref="K19" si="2">$R$48</f>
        <v>1494.8901935203305</v>
      </c>
      <c r="L19" s="12">
        <v>0.12478547854785489</v>
      </c>
      <c r="N19" t="s">
        <v>161</v>
      </c>
      <c r="Q19" s="12"/>
      <c r="R19" s="94"/>
      <c r="W19" s="93"/>
      <c r="X19" s="93"/>
      <c r="Y19" s="93"/>
      <c r="Z19" s="93"/>
      <c r="AA19" s="93"/>
      <c r="AB19" s="93"/>
    </row>
    <row r="20" spans="2:28" x14ac:dyDescent="0.25">
      <c r="D20" s="36"/>
      <c r="E20" s="93" t="s">
        <v>41</v>
      </c>
      <c r="F20" s="93" t="s">
        <v>156</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647</v>
      </c>
      <c r="E21" s="93"/>
      <c r="F21" s="93"/>
      <c r="G21" s="93" t="s">
        <v>160</v>
      </c>
      <c r="H21">
        <v>2050</v>
      </c>
      <c r="I21" s="16"/>
      <c r="J21" s="94"/>
      <c r="K21" s="132">
        <f t="shared" ref="K21:K37" si="3">$R$48</f>
        <v>1494.8901935203305</v>
      </c>
      <c r="L21" s="26">
        <v>8.3411341134113429E-2</v>
      </c>
      <c r="M21" s="16"/>
      <c r="N21" s="16" t="s">
        <v>161</v>
      </c>
      <c r="O21" s="16"/>
      <c r="P21" s="16"/>
      <c r="Q21" s="16"/>
      <c r="R21" s="16"/>
      <c r="S21" s="16"/>
      <c r="T21" s="16"/>
      <c r="V21" s="16"/>
      <c r="W21" s="16"/>
      <c r="X21" s="16"/>
      <c r="Y21" s="16"/>
      <c r="Z21" s="93"/>
      <c r="AA21" s="93"/>
      <c r="AB21" s="93"/>
    </row>
    <row r="22" spans="2:28" x14ac:dyDescent="0.25">
      <c r="B22" s="180" t="s">
        <v>364</v>
      </c>
      <c r="C22" s="180" t="s">
        <v>365</v>
      </c>
      <c r="D22" s="106"/>
      <c r="E22" s="106" t="s">
        <v>41</v>
      </c>
      <c r="F22" s="180" t="s">
        <v>156</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647</v>
      </c>
      <c r="E23" s="16"/>
      <c r="F23" s="16"/>
      <c r="G23" s="16" t="s">
        <v>160</v>
      </c>
      <c r="H23" s="93">
        <v>2020</v>
      </c>
      <c r="I23" s="93"/>
      <c r="J23" s="26"/>
      <c r="K23" s="132">
        <f t="shared" si="3"/>
        <v>1494.8901935203305</v>
      </c>
      <c r="L23" s="26">
        <v>0.28437143714371443</v>
      </c>
      <c r="M23" s="16"/>
      <c r="N23" s="16" t="s">
        <v>161</v>
      </c>
      <c r="O23" s="16"/>
      <c r="P23" s="96"/>
      <c r="Q23" s="26"/>
      <c r="R23" s="26"/>
      <c r="S23" s="16"/>
      <c r="T23" s="16"/>
      <c r="V23" s="16"/>
      <c r="W23" s="16"/>
      <c r="X23" s="16"/>
      <c r="Y23" s="16"/>
      <c r="Z23" s="93"/>
      <c r="AA23" s="93"/>
      <c r="AB23" s="93"/>
    </row>
    <row r="24" spans="2:28" x14ac:dyDescent="0.25">
      <c r="B24" s="16"/>
      <c r="C24" s="16"/>
      <c r="D24" s="36"/>
      <c r="E24" s="93" t="s">
        <v>41</v>
      </c>
      <c r="F24" s="16" t="s">
        <v>156</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647</v>
      </c>
      <c r="E25" s="16"/>
      <c r="F25" s="16"/>
      <c r="G25" s="16" t="s">
        <v>160</v>
      </c>
      <c r="H25">
        <v>2030</v>
      </c>
      <c r="J25" s="26"/>
      <c r="K25" s="132">
        <f t="shared" si="3"/>
        <v>1494.8901935203305</v>
      </c>
      <c r="L25" s="26">
        <v>0.19571257125712563</v>
      </c>
      <c r="M25" s="16"/>
      <c r="N25" s="16" t="s">
        <v>161</v>
      </c>
      <c r="O25" s="16"/>
      <c r="Q25" s="26"/>
      <c r="R25" s="26"/>
      <c r="S25" s="16"/>
      <c r="T25" s="16"/>
      <c r="V25" s="16"/>
      <c r="W25" s="16"/>
      <c r="X25" s="16"/>
      <c r="Y25" s="16"/>
      <c r="Z25" s="93"/>
      <c r="AA25" s="93"/>
      <c r="AB25" s="93"/>
    </row>
    <row r="26" spans="2:28" x14ac:dyDescent="0.25">
      <c r="B26" s="16"/>
      <c r="C26" s="16"/>
      <c r="D26" s="36"/>
      <c r="E26" s="93" t="s">
        <v>41</v>
      </c>
      <c r="F26" s="16" t="s">
        <v>156</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647</v>
      </c>
      <c r="E27" s="16"/>
      <c r="F27" s="16"/>
      <c r="G27" s="16" t="s">
        <v>160</v>
      </c>
      <c r="H27">
        <v>2040</v>
      </c>
      <c r="J27" s="26"/>
      <c r="K27" s="132">
        <f t="shared" si="3"/>
        <v>1494.8901935203305</v>
      </c>
      <c r="L27" s="26">
        <v>0.16615961596159623</v>
      </c>
      <c r="M27" s="16"/>
      <c r="N27" s="16" t="s">
        <v>161</v>
      </c>
      <c r="O27" s="16"/>
      <c r="Q27" s="26"/>
      <c r="R27" s="26"/>
      <c r="S27" s="16"/>
      <c r="T27" s="16"/>
      <c r="V27" s="16"/>
      <c r="W27" s="16"/>
      <c r="X27" s="16"/>
      <c r="Y27" s="16"/>
    </row>
    <row r="28" spans="2:28" x14ac:dyDescent="0.25">
      <c r="B28" s="16"/>
      <c r="C28" s="16"/>
      <c r="D28" s="36"/>
      <c r="E28" s="93" t="s">
        <v>41</v>
      </c>
      <c r="F28" s="16" t="s">
        <v>156</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647</v>
      </c>
      <c r="E29" s="16"/>
      <c r="F29" s="16"/>
      <c r="G29" s="16" t="s">
        <v>160</v>
      </c>
      <c r="H29">
        <v>2050</v>
      </c>
      <c r="I29" s="16"/>
      <c r="J29" s="26"/>
      <c r="K29" s="132">
        <f t="shared" si="3"/>
        <v>1494.8901935203305</v>
      </c>
      <c r="L29" s="26">
        <v>0.1366066606660668</v>
      </c>
      <c r="M29" s="16"/>
      <c r="N29" s="16" t="s">
        <v>161</v>
      </c>
      <c r="O29" s="16"/>
      <c r="P29" s="16"/>
      <c r="Q29" s="16"/>
      <c r="R29" s="16"/>
      <c r="S29" s="16"/>
      <c r="T29" s="16"/>
      <c r="V29" s="16"/>
      <c r="W29" s="16"/>
      <c r="X29" s="16"/>
      <c r="Y29" s="16"/>
    </row>
    <row r="30" spans="2:28" x14ac:dyDescent="0.25">
      <c r="B30" s="106" t="s">
        <v>366</v>
      </c>
      <c r="C30" s="106" t="s">
        <v>367</v>
      </c>
      <c r="D30" s="106"/>
      <c r="E30" s="106" t="s">
        <v>41</v>
      </c>
      <c r="F30" s="180" t="s">
        <v>156</v>
      </c>
      <c r="G30" s="106"/>
      <c r="H30" s="106">
        <v>2020</v>
      </c>
      <c r="I30" s="180">
        <v>2040</v>
      </c>
      <c r="J30" s="181">
        <v>0.77500000000000002</v>
      </c>
      <c r="K30" s="181"/>
      <c r="L30" s="181"/>
      <c r="M30" s="180">
        <v>0.98599999999999999</v>
      </c>
      <c r="N30" s="180">
        <v>0.46</v>
      </c>
      <c r="O30" s="180">
        <v>10</v>
      </c>
      <c r="P30" s="180">
        <v>31.536000000000001</v>
      </c>
      <c r="Q30" s="181">
        <f>'86 SOEC 1MW'!D27/SUP_H2!J30</f>
        <v>5794.2787583688369</v>
      </c>
      <c r="R30" s="181">
        <f>0.12*Q30</f>
        <v>695.3134510042604</v>
      </c>
      <c r="S30" s="180"/>
      <c r="T30" s="180">
        <v>0.33</v>
      </c>
      <c r="V30" s="16"/>
      <c r="W30" s="16"/>
      <c r="X30" s="16"/>
      <c r="Y30" s="16"/>
    </row>
    <row r="31" spans="2:28" x14ac:dyDescent="0.25">
      <c r="B31" s="93"/>
      <c r="C31" s="93"/>
      <c r="D31" t="s">
        <v>647</v>
      </c>
      <c r="E31" s="16"/>
      <c r="F31" s="16"/>
      <c r="G31" s="93" t="s">
        <v>160</v>
      </c>
      <c r="H31" s="93">
        <v>2020</v>
      </c>
      <c r="I31" s="16"/>
      <c r="J31" s="16" t="s">
        <v>161</v>
      </c>
      <c r="K31" s="132">
        <f t="shared" si="3"/>
        <v>1494.8901935203305</v>
      </c>
      <c r="L31" s="16">
        <v>0.20499999999999999</v>
      </c>
      <c r="M31" s="16"/>
      <c r="N31" s="16" t="s">
        <v>161</v>
      </c>
      <c r="O31" s="16"/>
      <c r="P31" s="96"/>
      <c r="Q31" s="26"/>
      <c r="R31" s="26"/>
      <c r="S31" s="16"/>
      <c r="T31" s="16"/>
      <c r="V31" s="16"/>
      <c r="W31" s="16"/>
      <c r="X31" s="16"/>
      <c r="Y31" s="16"/>
    </row>
    <row r="32" spans="2:28" x14ac:dyDescent="0.25">
      <c r="B32" s="93"/>
      <c r="C32" s="93"/>
      <c r="D32" s="36"/>
      <c r="E32" s="93" t="s">
        <v>41</v>
      </c>
      <c r="F32" s="16" t="s">
        <v>156</v>
      </c>
      <c r="G32" s="93"/>
      <c r="H32">
        <v>2030</v>
      </c>
      <c r="I32" s="16"/>
      <c r="J32" s="16">
        <v>0.80500000000000005</v>
      </c>
      <c r="K32" s="94"/>
      <c r="L32" s="16"/>
      <c r="M32" s="16">
        <v>0.98599999999999999</v>
      </c>
      <c r="N32" s="16">
        <v>0.46</v>
      </c>
      <c r="O32" s="16">
        <v>20</v>
      </c>
      <c r="P32">
        <v>31.536000000000001</v>
      </c>
      <c r="Q32" s="26">
        <f>'86 SOEC 1MW'!E27/SUP_H2!J32</f>
        <v>2361.0200223756797</v>
      </c>
      <c r="R32" s="26">
        <f t="shared" ref="R32:R36" si="5">0.12*Q32</f>
        <v>283.32240268508156</v>
      </c>
      <c r="S32" s="16"/>
      <c r="T32" s="16">
        <v>0.33</v>
      </c>
      <c r="V32" s="16"/>
      <c r="W32" s="16"/>
      <c r="X32" s="16"/>
      <c r="Y32" s="16"/>
    </row>
    <row r="33" spans="2:25" x14ac:dyDescent="0.25">
      <c r="B33" s="93"/>
      <c r="C33" s="93"/>
      <c r="D33" t="s">
        <v>647</v>
      </c>
      <c r="E33" s="16"/>
      <c r="F33" s="16"/>
      <c r="G33" s="93" t="s">
        <v>160</v>
      </c>
      <c r="H33">
        <v>2030</v>
      </c>
      <c r="I33" s="16"/>
      <c r="J33" s="16"/>
      <c r="K33" s="132">
        <f t="shared" si="3"/>
        <v>1494.8901935203305</v>
      </c>
      <c r="L33" s="16">
        <v>0.19500000000000001</v>
      </c>
      <c r="M33" s="16"/>
      <c r="N33" s="16" t="s">
        <v>161</v>
      </c>
      <c r="O33" s="16"/>
      <c r="Q33" s="26"/>
      <c r="R33" s="26"/>
      <c r="S33" s="16"/>
      <c r="T33" s="16"/>
      <c r="V33" s="16"/>
      <c r="W33" s="16"/>
      <c r="X33" s="16"/>
      <c r="Y33" s="16"/>
    </row>
    <row r="34" spans="2:25" x14ac:dyDescent="0.25">
      <c r="B34" s="93"/>
      <c r="C34" s="93"/>
      <c r="D34" s="36"/>
      <c r="E34" s="93" t="s">
        <v>41</v>
      </c>
      <c r="F34" s="16" t="s">
        <v>156</v>
      </c>
      <c r="G34" s="93"/>
      <c r="H34">
        <v>2040</v>
      </c>
      <c r="I34" s="16"/>
      <c r="J34" s="16">
        <v>0.82</v>
      </c>
      <c r="K34" s="94"/>
      <c r="L34" s="16"/>
      <c r="M34" s="16">
        <v>0.98599999999999999</v>
      </c>
      <c r="N34" s="16">
        <v>0.46</v>
      </c>
      <c r="O34" s="16">
        <v>20</v>
      </c>
      <c r="P34">
        <v>31.536000000000001</v>
      </c>
      <c r="Q34" s="26">
        <f>'86 SOEC 1MW'!F27/SUP_H2!J34</f>
        <v>1636.4577141353388</v>
      </c>
      <c r="R34" s="26">
        <f t="shared" si="5"/>
        <v>196.37492569624067</v>
      </c>
      <c r="S34" s="16"/>
      <c r="T34" s="16">
        <v>0.33</v>
      </c>
      <c r="V34" s="16"/>
      <c r="W34" s="16"/>
      <c r="X34" s="16"/>
      <c r="Y34" s="16"/>
    </row>
    <row r="35" spans="2:25" x14ac:dyDescent="0.25">
      <c r="B35" s="93"/>
      <c r="C35" s="93"/>
      <c r="D35" t="s">
        <v>647</v>
      </c>
      <c r="E35" s="16"/>
      <c r="F35" s="16"/>
      <c r="G35" s="93" t="s">
        <v>160</v>
      </c>
      <c r="H35">
        <v>2040</v>
      </c>
      <c r="I35" s="16"/>
      <c r="J35" s="16"/>
      <c r="K35" s="132">
        <f t="shared" si="3"/>
        <v>1494.8901935203305</v>
      </c>
      <c r="L35" s="16">
        <v>0.18599999999999994</v>
      </c>
      <c r="M35" s="16"/>
      <c r="N35" s="16" t="s">
        <v>161</v>
      </c>
      <c r="O35" s="16"/>
      <c r="Q35" s="26"/>
      <c r="R35" s="26"/>
      <c r="S35" s="16"/>
      <c r="T35" s="16"/>
      <c r="V35" s="16"/>
      <c r="W35" s="16"/>
      <c r="X35" s="16"/>
      <c r="Y35" s="16"/>
    </row>
    <row r="36" spans="2:25" x14ac:dyDescent="0.25">
      <c r="B36" s="93"/>
      <c r="C36" s="93"/>
      <c r="D36" s="36"/>
      <c r="E36" s="93" t="s">
        <v>41</v>
      </c>
      <c r="F36" s="16" t="s">
        <v>156</v>
      </c>
      <c r="G36" s="93"/>
      <c r="H36">
        <v>2050</v>
      </c>
      <c r="I36" s="16"/>
      <c r="J36" s="16">
        <v>0.83499999999999996</v>
      </c>
      <c r="K36" s="94"/>
      <c r="L36" s="16"/>
      <c r="M36" s="16">
        <v>0.98599999999999999</v>
      </c>
      <c r="N36" s="16">
        <v>0.46</v>
      </c>
      <c r="O36" s="16">
        <v>20</v>
      </c>
      <c r="P36">
        <v>31.536000000000001</v>
      </c>
      <c r="Q36" s="26">
        <f>'86 SOEC 1MW'!G27/SUP_H2!J36</f>
        <v>937.92758463417147</v>
      </c>
      <c r="R36" s="26">
        <f t="shared" si="5"/>
        <v>112.55131015610057</v>
      </c>
      <c r="S36" s="16"/>
      <c r="T36" s="16">
        <v>0.33</v>
      </c>
      <c r="V36" s="16"/>
      <c r="W36" s="16"/>
      <c r="X36" s="16"/>
      <c r="Y36" s="16"/>
    </row>
    <row r="37" spans="2:25" ht="13.8" thickBot="1" x14ac:dyDescent="0.3">
      <c r="B37" s="93"/>
      <c r="C37" s="93"/>
      <c r="D37" t="s">
        <v>647</v>
      </c>
      <c r="E37" s="93"/>
      <c r="F37" s="93"/>
      <c r="G37" s="93" t="s">
        <v>160</v>
      </c>
      <c r="H37">
        <v>2050</v>
      </c>
      <c r="I37" s="16"/>
      <c r="J37" s="16"/>
      <c r="K37" s="132">
        <f t="shared" si="3"/>
        <v>1494.8901935203305</v>
      </c>
      <c r="L37" s="16">
        <v>0.18599999999999994</v>
      </c>
      <c r="M37" s="16"/>
      <c r="N37" s="16"/>
      <c r="O37" s="16" t="s">
        <v>161</v>
      </c>
      <c r="P37" s="16"/>
      <c r="Q37" s="16"/>
      <c r="R37" s="16"/>
      <c r="S37" s="16"/>
      <c r="T37" s="16"/>
      <c r="V37" s="16"/>
      <c r="W37" s="16"/>
      <c r="X37" s="16"/>
      <c r="Y37" s="16"/>
    </row>
    <row r="38" spans="2:25" x14ac:dyDescent="0.25">
      <c r="B38" s="182"/>
      <c r="C38" s="182"/>
      <c r="D38" s="182"/>
      <c r="E38" s="182"/>
      <c r="F38" s="182"/>
      <c r="G38" s="182"/>
      <c r="H38" s="182"/>
      <c r="I38" s="182"/>
      <c r="J38" s="182"/>
      <c r="K38" s="182"/>
      <c r="L38" s="182"/>
      <c r="M38" s="182"/>
      <c r="N38" s="182"/>
      <c r="O38" s="182"/>
      <c r="P38" s="182"/>
      <c r="Q38" s="182"/>
      <c r="R38" s="182"/>
      <c r="S38" s="182"/>
    </row>
    <row r="46" spans="2:25" x14ac:dyDescent="0.25">
      <c r="R46">
        <v>33000</v>
      </c>
      <c r="S46" t="s">
        <v>678</v>
      </c>
    </row>
    <row r="47" spans="2:25" x14ac:dyDescent="0.25">
      <c r="P47" t="s">
        <v>679</v>
      </c>
      <c r="T47" s="16">
        <v>1</v>
      </c>
      <c r="U47" s="339" t="s">
        <v>674</v>
      </c>
    </row>
    <row r="48" spans="2:25" x14ac:dyDescent="0.25">
      <c r="P48">
        <v>1</v>
      </c>
      <c r="Q48" t="s">
        <v>680</v>
      </c>
      <c r="R48">
        <f>R46/P50</f>
        <v>1494.8901935203305</v>
      </c>
      <c r="S48" t="s">
        <v>682</v>
      </c>
      <c r="T48" s="16">
        <v>3.5999999999999999E-3</v>
      </c>
      <c r="U48" s="339" t="s">
        <v>517</v>
      </c>
    </row>
    <row r="49" spans="16:17" x14ac:dyDescent="0.25">
      <c r="P49">
        <f>P48*0.7*8760</f>
        <v>6132</v>
      </c>
      <c r="Q49" t="s">
        <v>681</v>
      </c>
    </row>
    <row r="50" spans="16:17" x14ac:dyDescent="0.25">
      <c r="P50">
        <f>P49*T48</f>
        <v>22.075199999999999</v>
      </c>
      <c r="Q50" t="s">
        <v>517</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Q14" sqref="Q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702</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647</v>
      </c>
      <c r="E16" s="93"/>
      <c r="F16" s="93"/>
      <c r="G16" s="93"/>
      <c r="H16" s="93">
        <v>2020</v>
      </c>
      <c r="I16" s="93"/>
      <c r="J16" s="96"/>
      <c r="K16" s="96">
        <f>$S$36</f>
        <v>1691.1889058007778</v>
      </c>
      <c r="L16" s="96"/>
      <c r="M16" s="94"/>
      <c r="N16" s="95"/>
      <c r="O16" s="16"/>
      <c r="P16" s="94"/>
      <c r="Q16" s="26"/>
      <c r="R16" s="26"/>
      <c r="S16" s="26"/>
    </row>
    <row r="17" spans="2:27" x14ac:dyDescent="0.25">
      <c r="D17" s="93"/>
      <c r="E17" s="93" t="s">
        <v>180</v>
      </c>
      <c r="F17" s="93" t="s">
        <v>212</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160</v>
      </c>
      <c r="H18">
        <v>2030</v>
      </c>
      <c r="J18" s="183"/>
      <c r="K18" s="183">
        <f>K15</f>
        <v>7.0194410692588111E-2</v>
      </c>
      <c r="L18" s="183">
        <f>L15</f>
        <v>0.17699999999999999</v>
      </c>
      <c r="M18" s="94"/>
      <c r="N18" s="95"/>
      <c r="O18" s="16"/>
      <c r="P18" s="94"/>
      <c r="Q18" s="26"/>
      <c r="R18" s="26"/>
      <c r="S18" s="26"/>
      <c r="V18" s="104"/>
      <c r="W18" s="104"/>
    </row>
    <row r="19" spans="2:27" x14ac:dyDescent="0.25">
      <c r="D19" t="s">
        <v>647</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160</v>
      </c>
      <c r="H21">
        <v>2040</v>
      </c>
      <c r="J21" s="183"/>
      <c r="K21" s="183">
        <f>K18</f>
        <v>7.0194410692588111E-2</v>
      </c>
      <c r="L21" s="183">
        <f>L18</f>
        <v>0.17699999999999999</v>
      </c>
      <c r="M21" s="94"/>
      <c r="N21" s="95"/>
      <c r="O21" s="16"/>
      <c r="P21" s="94"/>
      <c r="Q21" s="26"/>
      <c r="R21" s="26"/>
      <c r="S21" s="26"/>
      <c r="U21" s="93"/>
      <c r="V21" s="104"/>
      <c r="W21" s="104"/>
    </row>
    <row r="22" spans="2:27" x14ac:dyDescent="0.25">
      <c r="D22" t="s">
        <v>647</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160</v>
      </c>
      <c r="H24">
        <v>2050</v>
      </c>
      <c r="J24" s="183"/>
      <c r="K24" s="183">
        <f>K21</f>
        <v>7.0194410692588111E-2</v>
      </c>
      <c r="L24" s="183">
        <f>L21</f>
        <v>0.17699999999999999</v>
      </c>
      <c r="M24" s="94"/>
      <c r="N24" s="96"/>
      <c r="U24" s="93"/>
      <c r="V24" s="104"/>
      <c r="W24" s="104"/>
    </row>
    <row r="25" spans="2:27" x14ac:dyDescent="0.25">
      <c r="D25" t="s">
        <v>647</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J33" s="93"/>
      <c r="K33" s="93"/>
      <c r="L33" s="93"/>
      <c r="M33" s="93"/>
      <c r="N33" s="93"/>
      <c r="V33" s="16"/>
      <c r="X33" s="93"/>
      <c r="Y33" s="93"/>
      <c r="Z33" s="93"/>
      <c r="AA33" s="93"/>
    </row>
    <row r="34" spans="2:27" x14ac:dyDescent="0.25">
      <c r="S34">
        <v>40000</v>
      </c>
      <c r="T34" t="s">
        <v>678</v>
      </c>
      <c r="V34" s="16"/>
    </row>
    <row r="35" spans="2:27" x14ac:dyDescent="0.25">
      <c r="Q35" t="s">
        <v>683</v>
      </c>
      <c r="U35" s="16">
        <v>1</v>
      </c>
      <c r="V35" s="339" t="s">
        <v>674</v>
      </c>
    </row>
    <row r="36" spans="2:27" x14ac:dyDescent="0.25">
      <c r="Q36">
        <v>1</v>
      </c>
      <c r="R36" t="s">
        <v>680</v>
      </c>
      <c r="S36">
        <f>S34/Q38</f>
        <v>1691.1889058007778</v>
      </c>
      <c r="T36" t="s">
        <v>684</v>
      </c>
      <c r="U36" s="16">
        <v>3.5999999999999999E-3</v>
      </c>
      <c r="V36" s="339" t="s">
        <v>517</v>
      </c>
    </row>
    <row r="37" spans="2:27" x14ac:dyDescent="0.25">
      <c r="Q37">
        <f>Q36*0.75*8760</f>
        <v>6570</v>
      </c>
      <c r="R37" t="s">
        <v>681</v>
      </c>
      <c r="V37" s="16"/>
    </row>
    <row r="38" spans="2:27" x14ac:dyDescent="0.25">
      <c r="Q38">
        <f>Q37*U36</f>
        <v>23.652000000000001</v>
      </c>
      <c r="R38" t="s">
        <v>517</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2024-02-13T13:24:32Z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